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3065"/>
  </bookViews>
  <sheets>
    <sheet name="részletes költségbontás" sheetId="1" r:id="rId1"/>
  </sheets>
  <definedNames>
    <definedName name="_xlnm._FilterDatabase" localSheetId="0" hidden="1">'részletes költségbontás'!$A$3:$EP$38</definedName>
    <definedName name="_xlnm.Print_Area" localSheetId="0">'részletes költségbontás'!$A$1:$T$38</definedName>
  </definedNames>
  <calcPr calcId="145621"/>
</workbook>
</file>

<file path=xl/calcChain.xml><?xml version="1.0" encoding="utf-8"?>
<calcChain xmlns="http://schemas.openxmlformats.org/spreadsheetml/2006/main">
  <c r="E46" i="1" l="1"/>
  <c r="G52" i="1" l="1"/>
  <c r="G51" i="1"/>
  <c r="G50" i="1"/>
  <c r="W42" i="1" l="1"/>
  <c r="X42" i="1"/>
  <c r="V42" i="1"/>
  <c r="W41" i="1"/>
  <c r="X41" i="1"/>
  <c r="V41" i="1"/>
  <c r="W40" i="1"/>
  <c r="X40" i="1"/>
  <c r="V40" i="1"/>
  <c r="W39" i="1"/>
  <c r="X39" i="1"/>
  <c r="V39" i="1"/>
  <c r="W37" i="1"/>
  <c r="X37" i="1"/>
  <c r="V37" i="1"/>
  <c r="V36" i="1"/>
  <c r="W36" i="1"/>
  <c r="X36" i="1"/>
  <c r="W34" i="1"/>
  <c r="X34" i="1"/>
  <c r="V34" i="1"/>
  <c r="X33" i="1"/>
  <c r="W33" i="1"/>
  <c r="V33" i="1"/>
  <c r="W32" i="1"/>
  <c r="X32" i="1"/>
  <c r="V32" i="1"/>
  <c r="W30" i="1"/>
  <c r="X30" i="1"/>
  <c r="V30" i="1"/>
  <c r="W28" i="1"/>
  <c r="X28" i="1"/>
  <c r="V28" i="1"/>
  <c r="V26" i="1"/>
  <c r="W27" i="1"/>
  <c r="X27" i="1"/>
  <c r="V27" i="1"/>
  <c r="W22" i="1"/>
  <c r="X22" i="1"/>
  <c r="V22" i="1"/>
  <c r="W21" i="1"/>
  <c r="X21" i="1"/>
  <c r="V21" i="1"/>
  <c r="W16" i="1"/>
  <c r="X16" i="1"/>
  <c r="V16" i="1"/>
  <c r="W15" i="1"/>
  <c r="X15" i="1"/>
  <c r="V15" i="1"/>
  <c r="W10" i="1"/>
  <c r="X10" i="1"/>
  <c r="V10" i="1"/>
  <c r="W9" i="1"/>
  <c r="X9" i="1"/>
  <c r="V9" i="1"/>
  <c r="W26" i="1"/>
  <c r="X26" i="1"/>
  <c r="W24" i="1"/>
  <c r="X24" i="1"/>
  <c r="V24" i="1"/>
  <c r="W20" i="1"/>
  <c r="X20" i="1"/>
  <c r="V20" i="1"/>
  <c r="W18" i="1"/>
  <c r="X18" i="1"/>
  <c r="V18" i="1"/>
  <c r="W14" i="1"/>
  <c r="X14" i="1"/>
  <c r="W12" i="1"/>
  <c r="X12" i="1"/>
  <c r="V12" i="1"/>
  <c r="V14" i="1"/>
  <c r="W8" i="1"/>
  <c r="X8" i="1"/>
  <c r="V8" i="1"/>
  <c r="W6" i="1"/>
  <c r="X6" i="1"/>
  <c r="V6" i="1"/>
  <c r="F4" i="1" l="1"/>
  <c r="E28" i="1" l="1"/>
  <c r="D41" i="1" l="1"/>
  <c r="D35" i="1"/>
  <c r="F21" i="1" l="1"/>
  <c r="J21" i="1"/>
  <c r="L27" i="1"/>
  <c r="L25" i="1"/>
  <c r="L24" i="1"/>
  <c r="L23" i="1"/>
  <c r="L22" i="1"/>
  <c r="N13" i="1"/>
  <c r="Q13" i="1" s="1"/>
  <c r="N12" i="1"/>
  <c r="Q12" i="1" s="1"/>
  <c r="N9" i="1"/>
  <c r="N10" i="1"/>
  <c r="M14" i="1"/>
  <c r="P14" i="1" s="1"/>
  <c r="M8" i="1"/>
  <c r="P8" i="1" s="1"/>
  <c r="N32" i="1"/>
  <c r="Q32" i="1" s="1"/>
  <c r="N31" i="1"/>
  <c r="Q31" i="1" s="1"/>
  <c r="N30" i="1"/>
  <c r="Q30" i="1" s="1"/>
  <c r="N29" i="1"/>
  <c r="Q29" i="1" s="1"/>
  <c r="N27" i="1"/>
  <c r="Q27" i="1" s="1"/>
  <c r="N25" i="1"/>
  <c r="Q25" i="1" s="1"/>
  <c r="N24" i="1"/>
  <c r="Q24" i="1" s="1"/>
  <c r="N23" i="1"/>
  <c r="Q23" i="1" s="1"/>
  <c r="N22" i="1"/>
  <c r="Q22" i="1" s="1"/>
  <c r="N18" i="1"/>
  <c r="Q18" i="1" s="1"/>
  <c r="N17" i="1"/>
  <c r="Q17" i="1" s="1"/>
  <c r="M10" i="1"/>
  <c r="M9" i="1"/>
  <c r="M38" i="1" s="1"/>
  <c r="N8" i="1"/>
  <c r="Q8" i="1" s="1"/>
  <c r="N6" i="1"/>
  <c r="Q6" i="1" s="1"/>
  <c r="N5" i="1"/>
  <c r="Q5" i="1" s="1"/>
  <c r="M5" i="1" l="1"/>
  <c r="P5" i="1" s="1"/>
  <c r="M6" i="1"/>
  <c r="P6" i="1" s="1"/>
  <c r="K7" i="1"/>
  <c r="N7" i="1" s="1"/>
  <c r="Q7" i="1" s="1"/>
  <c r="Q4" i="1" s="1"/>
  <c r="M7" i="1"/>
  <c r="P7" i="1" s="1"/>
  <c r="P4" i="1" l="1"/>
  <c r="N43" i="1" l="1"/>
  <c r="E38" i="1"/>
  <c r="F28" i="1"/>
  <c r="L18" i="1"/>
  <c r="L17" i="1"/>
  <c r="J16" i="1"/>
  <c r="G10" i="1"/>
  <c r="H10" i="1" s="1"/>
  <c r="G9" i="1"/>
  <c r="H9" i="1" s="1"/>
  <c r="F16" i="1"/>
  <c r="J11" i="1"/>
  <c r="F11" i="1"/>
  <c r="L10" i="1"/>
  <c r="L9" i="1"/>
  <c r="L8" i="1"/>
  <c r="L6" i="1"/>
  <c r="L5" i="1"/>
  <c r="J4" i="1"/>
  <c r="O10" i="1" l="1"/>
  <c r="O9" i="1"/>
  <c r="G7" i="1" l="1"/>
  <c r="G8" i="1"/>
  <c r="O8" i="1" l="1"/>
  <c r="R8" i="1" s="1"/>
  <c r="H8" i="1"/>
  <c r="G27" i="1"/>
  <c r="O27" i="1" s="1"/>
  <c r="R27" i="1" s="1"/>
  <c r="M27" i="1"/>
  <c r="P27" i="1" s="1"/>
  <c r="L7" i="1"/>
  <c r="O7" i="1" s="1"/>
  <c r="R7" i="1" s="1"/>
  <c r="K4" i="1" l="1"/>
  <c r="H7" i="1"/>
  <c r="L4" i="1" l="1"/>
  <c r="N4" i="1"/>
  <c r="M33" i="1"/>
  <c r="P33" i="1" s="1"/>
  <c r="M34" i="1"/>
  <c r="P34" i="1" s="1"/>
  <c r="M20" i="1"/>
  <c r="P20" i="1" s="1"/>
  <c r="E37" i="1" l="1"/>
  <c r="G37" i="1" s="1"/>
  <c r="M19" i="1"/>
  <c r="P19" i="1" s="1"/>
  <c r="G46" i="1"/>
  <c r="M15" i="1"/>
  <c r="P15" i="1" s="1"/>
  <c r="E45" i="1"/>
  <c r="G26" i="1"/>
  <c r="M26" i="1"/>
  <c r="P26" i="1" s="1"/>
  <c r="G6" i="1"/>
  <c r="H6" i="1" s="1"/>
  <c r="G19" i="1"/>
  <c r="K19" i="1"/>
  <c r="N19" i="1" s="1"/>
  <c r="Q19" i="1" s="1"/>
  <c r="G15" i="1"/>
  <c r="N15" i="1"/>
  <c r="Q15" i="1" s="1"/>
  <c r="G14" i="1"/>
  <c r="N14" i="1"/>
  <c r="Q14" i="1" s="1"/>
  <c r="G34" i="1"/>
  <c r="K34" i="1"/>
  <c r="N34" i="1" s="1"/>
  <c r="Q34" i="1" s="1"/>
  <c r="E4" i="1"/>
  <c r="G5" i="1"/>
  <c r="H5" i="1" s="1"/>
  <c r="G20" i="1"/>
  <c r="K20" i="1"/>
  <c r="N20" i="1" s="1"/>
  <c r="Q20" i="1" s="1"/>
  <c r="G33" i="1"/>
  <c r="K33" i="1"/>
  <c r="N33" i="1" s="1"/>
  <c r="Q33" i="1" s="1"/>
  <c r="K26" i="1"/>
  <c r="H37" i="1" l="1"/>
  <c r="N47" i="1" s="1"/>
  <c r="M4" i="1"/>
  <c r="G4" i="1"/>
  <c r="H4" i="1" s="1"/>
  <c r="Q28" i="1"/>
  <c r="Q11" i="1"/>
  <c r="Q16" i="1"/>
  <c r="O5" i="1"/>
  <c r="H19" i="1"/>
  <c r="K21" i="1"/>
  <c r="N26" i="1"/>
  <c r="Q26" i="1" s="1"/>
  <c r="Q21" i="1" s="1"/>
  <c r="L26" i="1"/>
  <c r="O26" i="1" s="1"/>
  <c r="R26" i="1" s="1"/>
  <c r="H20" i="1"/>
  <c r="O6" i="1"/>
  <c r="K11" i="1"/>
  <c r="N11" i="1" s="1"/>
  <c r="K16" i="1"/>
  <c r="N16" i="1" s="1"/>
  <c r="L19" i="1"/>
  <c r="O19" i="1" s="1"/>
  <c r="R19" i="1" s="1"/>
  <c r="L20" i="1"/>
  <c r="O20" i="1" s="1"/>
  <c r="R20" i="1" s="1"/>
  <c r="L33" i="1"/>
  <c r="O33" i="1" s="1"/>
  <c r="R33" i="1" s="1"/>
  <c r="O4" i="1" l="1"/>
  <c r="R5" i="1"/>
  <c r="R6" i="1"/>
  <c r="Q35" i="1"/>
  <c r="L21" i="1"/>
  <c r="N21" i="1"/>
  <c r="L11" i="1"/>
  <c r="R4" i="1" l="1"/>
  <c r="L32" i="1"/>
  <c r="L30" i="1"/>
  <c r="M29" i="1"/>
  <c r="P29" i="1" s="1"/>
  <c r="G30" i="1" l="1"/>
  <c r="O30" i="1" s="1"/>
  <c r="R30" i="1" s="1"/>
  <c r="M30" i="1"/>
  <c r="P30" i="1" s="1"/>
  <c r="G32" i="1"/>
  <c r="O32" i="1" s="1"/>
  <c r="R32" i="1" s="1"/>
  <c r="M32" i="1"/>
  <c r="P32" i="1" s="1"/>
  <c r="G31" i="1"/>
  <c r="M31" i="1"/>
  <c r="P31" i="1" s="1"/>
  <c r="G29" i="1"/>
  <c r="H30" i="1" l="1"/>
  <c r="P28" i="1"/>
  <c r="G23" i="1"/>
  <c r="O23" i="1" s="1"/>
  <c r="R23" i="1" s="1"/>
  <c r="M23" i="1"/>
  <c r="P23" i="1" s="1"/>
  <c r="G28" i="1"/>
  <c r="G25" i="1"/>
  <c r="O25" i="1" s="1"/>
  <c r="R25" i="1" s="1"/>
  <c r="M25" i="1"/>
  <c r="P25" i="1" s="1"/>
  <c r="G18" i="1"/>
  <c r="M18" i="1"/>
  <c r="P18" i="1" s="1"/>
  <c r="H32" i="1"/>
  <c r="G22" i="1" l="1"/>
  <c r="O22" i="1" s="1"/>
  <c r="R22" i="1" s="1"/>
  <c r="M22" i="1"/>
  <c r="P22" i="1" s="1"/>
  <c r="E21" i="1"/>
  <c r="H18" i="1"/>
  <c r="O18" i="1"/>
  <c r="R18" i="1" s="1"/>
  <c r="M24" i="1"/>
  <c r="P24" i="1" s="1"/>
  <c r="P21" i="1" s="1"/>
  <c r="G24" i="1"/>
  <c r="O24" i="1" s="1"/>
  <c r="R24" i="1" s="1"/>
  <c r="H25" i="1"/>
  <c r="H23" i="1"/>
  <c r="G21" i="1" l="1"/>
  <c r="M21" i="1"/>
  <c r="R21" i="1"/>
  <c r="L13" i="1"/>
  <c r="O21" i="1" l="1"/>
  <c r="M13" i="1"/>
  <c r="P13" i="1" s="1"/>
  <c r="M17" i="1"/>
  <c r="P17" i="1" s="1"/>
  <c r="P16" i="1" s="1"/>
  <c r="L34" i="1"/>
  <c r="O34" i="1" s="1"/>
  <c r="R34" i="1" s="1"/>
  <c r="L31" i="1"/>
  <c r="O31" i="1" s="1"/>
  <c r="R31" i="1" s="1"/>
  <c r="L29" i="1"/>
  <c r="O29" i="1" s="1"/>
  <c r="R29" i="1" s="1"/>
  <c r="J28" i="1"/>
  <c r="M28" i="1" s="1"/>
  <c r="K28" i="1"/>
  <c r="N28" i="1" s="1"/>
  <c r="N35" i="1" s="1"/>
  <c r="N44" i="1" s="1"/>
  <c r="L15" i="1"/>
  <c r="O15" i="1" s="1"/>
  <c r="R15" i="1" s="1"/>
  <c r="L14" i="1"/>
  <c r="O14" i="1" s="1"/>
  <c r="L12" i="1"/>
  <c r="R14" i="1" l="1"/>
  <c r="O37" i="1"/>
  <c r="M12" i="1"/>
  <c r="P12" i="1" s="1"/>
  <c r="P11" i="1" s="1"/>
  <c r="P35" i="1" s="1"/>
  <c r="E36" i="1"/>
  <c r="G13" i="1"/>
  <c r="O13" i="1" s="1"/>
  <c r="R13" i="1" s="1"/>
  <c r="R28" i="1"/>
  <c r="G12" i="1"/>
  <c r="O12" i="1" s="1"/>
  <c r="E11" i="1"/>
  <c r="G17" i="1"/>
  <c r="E16" i="1"/>
  <c r="M16" i="1" s="1"/>
  <c r="L28" i="1"/>
  <c r="O28" i="1" s="1"/>
  <c r="M11" i="1" l="1"/>
  <c r="M35" i="1" s="1"/>
  <c r="M44" i="1" s="1"/>
  <c r="E35" i="1"/>
  <c r="R12" i="1"/>
  <c r="H13" i="1"/>
  <c r="H17" i="1"/>
  <c r="O17" i="1"/>
  <c r="R17" i="1" s="1"/>
  <c r="G11" i="1"/>
  <c r="G16" i="1"/>
  <c r="R16" i="1" l="1"/>
  <c r="R11" i="1"/>
  <c r="R35" i="1" s="1"/>
  <c r="O36" i="1"/>
  <c r="H11" i="1"/>
  <c r="O11" i="1"/>
  <c r="R38" i="1"/>
  <c r="Q38" i="1"/>
  <c r="P38" i="1"/>
  <c r="K37" i="1"/>
  <c r="J38" i="1"/>
  <c r="J37" i="1"/>
  <c r="J36" i="1"/>
  <c r="J35" i="1"/>
  <c r="F38" i="1"/>
  <c r="F37" i="1"/>
  <c r="F36" i="1"/>
  <c r="L37" i="1" l="1"/>
  <c r="P37" i="1"/>
  <c r="H31" i="1"/>
  <c r="H22" i="1"/>
  <c r="M37" i="1"/>
  <c r="G38" i="1"/>
  <c r="H24" i="1"/>
  <c r="H12" i="1"/>
  <c r="H15" i="1"/>
  <c r="F35" i="1"/>
  <c r="H14" i="1"/>
  <c r="K35" i="1" l="1"/>
  <c r="L16" i="1"/>
  <c r="N38" i="1"/>
  <c r="K38" i="1"/>
  <c r="H38" i="1"/>
  <c r="N49" i="1" s="1"/>
  <c r="H21" i="1"/>
  <c r="H16" i="1"/>
  <c r="K36" i="1"/>
  <c r="L35" i="1" l="1"/>
  <c r="N51" i="1" s="1"/>
  <c r="O16" i="1"/>
  <c r="O35" i="1" s="1"/>
  <c r="O44" i="1" s="1"/>
  <c r="N37" i="1"/>
  <c r="Q37" i="1"/>
  <c r="M36" i="1"/>
  <c r="L38" i="1"/>
  <c r="O38" i="1"/>
  <c r="N36" i="1"/>
  <c r="L36" i="1"/>
  <c r="P36" i="1" l="1"/>
  <c r="Q36" i="1"/>
  <c r="H29" i="1"/>
  <c r="H36" i="1" s="1"/>
  <c r="G36" i="1"/>
  <c r="Q43" i="1" l="1"/>
  <c r="N46" i="1"/>
  <c r="N48" i="1" s="1"/>
  <c r="N50" i="1" s="1"/>
  <c r="N52" i="1" s="1"/>
  <c r="P44" i="1" s="1"/>
  <c r="E44" i="1"/>
  <c r="G44" i="1" s="1"/>
  <c r="E43" i="1"/>
  <c r="F43" i="1" s="1"/>
  <c r="R36" i="1"/>
  <c r="H28" i="1"/>
  <c r="H35" i="1" s="1"/>
  <c r="G35" i="1"/>
  <c r="H27" i="1" l="1"/>
  <c r="F45" i="1"/>
  <c r="H26" i="1"/>
  <c r="H34" i="1"/>
  <c r="H33" i="1" l="1"/>
  <c r="R37" i="1" l="1"/>
</calcChain>
</file>

<file path=xl/sharedStrings.xml><?xml version="1.0" encoding="utf-8"?>
<sst xmlns="http://schemas.openxmlformats.org/spreadsheetml/2006/main" count="201" uniqueCount="107">
  <si>
    <t>felelős</t>
  </si>
  <si>
    <t>nettó</t>
  </si>
  <si>
    <t>ÁFA</t>
  </si>
  <si>
    <t>bruttó</t>
  </si>
  <si>
    <t>Tevékenyég sorszáma</t>
  </si>
  <si>
    <t>1.1</t>
  </si>
  <si>
    <t>3.2</t>
  </si>
  <si>
    <t>%</t>
  </si>
  <si>
    <t>HUF</t>
  </si>
  <si>
    <t>Finanszírozás
szállítói / utó</t>
  </si>
  <si>
    <t>Közreműködő bevonása
igen / nem</t>
  </si>
  <si>
    <t>nettó HUF</t>
  </si>
  <si>
    <t>ÁFA HUF</t>
  </si>
  <si>
    <t>bruttó HUF</t>
  </si>
  <si>
    <t>Nem elszámolható költségek</t>
  </si>
  <si>
    <t>Igen</t>
  </si>
  <si>
    <t xml:space="preserve">Tevékenység megnevezése
</t>
  </si>
  <si>
    <t xml:space="preserve">EUR
</t>
  </si>
  <si>
    <t xml:space="preserve">bruttó HUF
</t>
  </si>
  <si>
    <r>
      <t>CEF projekt</t>
    </r>
    <r>
      <rPr>
        <sz val="11"/>
        <color rgb="FFFF0000"/>
        <rFont val="Arial"/>
        <family val="2"/>
        <charset val="238"/>
      </rPr>
      <t/>
    </r>
  </si>
  <si>
    <r>
      <t>Támogatott projekt</t>
    </r>
    <r>
      <rPr>
        <sz val="11"/>
        <color rgb="FFFF0000"/>
        <rFont val="Arial"/>
        <family val="2"/>
        <charset val="238"/>
      </rPr>
      <t/>
    </r>
  </si>
  <si>
    <t>Teljes projekt</t>
  </si>
  <si>
    <t>ÖSSZESEN:</t>
  </si>
  <si>
    <t>1</t>
  </si>
  <si>
    <t>2</t>
  </si>
  <si>
    <t>3</t>
  </si>
  <si>
    <t>4</t>
  </si>
  <si>
    <t>5</t>
  </si>
  <si>
    <t>utó</t>
  </si>
  <si>
    <t>szállítói</t>
  </si>
  <si>
    <t>Projektmenedzsment</t>
  </si>
  <si>
    <t>Budapest Közút Zrt.</t>
  </si>
  <si>
    <t>A Forgalmi Menedzsment Tervben definiált intézkedési tervek felülvizsgálata és kiegészítése</t>
  </si>
  <si>
    <t>2.1.1</t>
  </si>
  <si>
    <t>2.1.2</t>
  </si>
  <si>
    <t>3.1.1</t>
  </si>
  <si>
    <t>3.1.2</t>
  </si>
  <si>
    <t>A Forgalmi Menedzsment Tervben definiált intézkedési tervek felülvizsgálata és kiegészítése - szakmai szakértői tevékenység</t>
  </si>
  <si>
    <t>4.1.1</t>
  </si>
  <si>
    <t>4.1.2</t>
  </si>
  <si>
    <t>Budapesti Forgalomirányító központ DATEX frissítése</t>
  </si>
  <si>
    <t>4.2.1</t>
  </si>
  <si>
    <t>4.2.2</t>
  </si>
  <si>
    <t>Budapesti Forgalomirányító központ DATEX frissítése - szakmai szakértői tevékenység</t>
  </si>
  <si>
    <t xml:space="preserve">A Nemzeti Hozzáférési Pont számára történő adatszolgáltatás fejlesztése </t>
  </si>
  <si>
    <t>A Nemzeti Hozzáférési Pont számára történő adatszolgáltatás fejlesztése  - szakmai szakértői tevékenység</t>
  </si>
  <si>
    <t>A fővárosi forgalmi menedzsment központ dinamikus szolgáltatásainak és adatbázisának fejlesztése, a rendelkezésre álló adatok minőségének, mennyiségének és hozzáférhetőségének javítása bővítése</t>
  </si>
  <si>
    <t>A fővárosi forgalmi menedzsment központ dinamikus szolgáltatásainak és adatbázisának fejlesztése, a rendelkezésre álló adatok minőségének, mennyiségének és hozzáférhetőségének javítása bővítése - szakmai szakértői tevékenység</t>
  </si>
  <si>
    <t>Forgalmi információs szolgáltatások fejlesztése, illetve külső szolgáltatások támogatása egységes, szabványos adat platform alkalmazásával</t>
  </si>
  <si>
    <t>Kooperatív ITS rendszerek támogatása terepi infrastruktúra elemek telepítésével</t>
  </si>
  <si>
    <t>5.1.2</t>
  </si>
  <si>
    <t>5.2.1</t>
  </si>
  <si>
    <t>5.1.1</t>
  </si>
  <si>
    <t>5.2.2</t>
  </si>
  <si>
    <t>Kooperatív ITS rendszerek támogatása terepi infrastruktúra elemek telepítésével - szakmai szakértői tevékenység</t>
  </si>
  <si>
    <t>Projektmenedzsment és kommunikáció</t>
  </si>
  <si>
    <t xml:space="preserve">nem </t>
  </si>
  <si>
    <t xml:space="preserve">igen </t>
  </si>
  <si>
    <t xml:space="preserve">szállítói </t>
  </si>
  <si>
    <t xml:space="preserve">Forgalmi információs szolgáltatások fejlesztése, illetve külső szolgáltatások támogatása egységes, szabványos adat platform alkalmazásával - szakmai szakértői tevékenység </t>
  </si>
  <si>
    <t>igen</t>
  </si>
  <si>
    <t>Határon átnyúló tevékenységek összehangolása, együttműködési megállapodások kötése</t>
  </si>
  <si>
    <t>ITS direktíva megvalósítása (NHP és Nemzeti Szerv kijelölése)</t>
  </si>
  <si>
    <t>Adatelérés</t>
  </si>
  <si>
    <t>Szolgáltatás nyújtása végfelhasználóknak</t>
  </si>
  <si>
    <t>Magyar Közút NZrt.</t>
  </si>
  <si>
    <t>Nemzeti Hozzáférési Pont Fejlesztése</t>
  </si>
  <si>
    <t>Határon átnyúló együttműködési megállapodások kötése, részvétel technikai munkacsoport megbeszéléseken</t>
  </si>
  <si>
    <t>További Forgalmi Menedzsment Tervek készítése és meglévők felülvizsgálata</t>
  </si>
  <si>
    <t xml:space="preserve">Értékelő jelentés (Nemzeti Szerv, Nemzeti Hozzáférési Pont) </t>
  </si>
  <si>
    <t>2.2.1</t>
  </si>
  <si>
    <t>2.2.2</t>
  </si>
  <si>
    <t>1.2.1</t>
  </si>
  <si>
    <t>1.2.2</t>
  </si>
  <si>
    <t>4.3.1</t>
  </si>
  <si>
    <t>4.3.2</t>
  </si>
  <si>
    <t>Nemzeti Forgalomirányító Központ kialakítása - Új DATEX II csomópont kialakítása</t>
  </si>
  <si>
    <t>5.3.1</t>
  </si>
  <si>
    <t>Utinfo mobil alkalmazás továbbfejlesztése, további funkciókkal való ellátása</t>
  </si>
  <si>
    <t>C-ITS infrastruktúra bővítése</t>
  </si>
  <si>
    <t>Projektmenedzsment és koordináció</t>
  </si>
  <si>
    <t>Kommunikáció</t>
  </si>
  <si>
    <t>1.3</t>
  </si>
  <si>
    <t>Nemzeti Forgalomirányító Központ kialakításához kapcsolódó saját teljesítés - Új DATEX II csomópont kialakítása</t>
  </si>
  <si>
    <t>5.4</t>
  </si>
  <si>
    <t>3.3</t>
  </si>
  <si>
    <t>1.4</t>
  </si>
  <si>
    <t>1.5</t>
  </si>
  <si>
    <t>Könyvvizsgálat</t>
  </si>
  <si>
    <t>n.r</t>
  </si>
  <si>
    <t>n.r.</t>
  </si>
  <si>
    <t>korm.hat</t>
  </si>
  <si>
    <t>ktgvetés</t>
  </si>
  <si>
    <r>
      <t xml:space="preserve">CEF támogatás
</t>
    </r>
    <r>
      <rPr>
        <sz val="14"/>
        <color rgb="FF000000"/>
        <rFont val="Arial"/>
        <family val="2"/>
        <charset val="238"/>
      </rPr>
      <t>(310,8 HUF/EUR)</t>
    </r>
  </si>
  <si>
    <t>ITM</t>
  </si>
  <si>
    <t>önrész MK</t>
  </si>
  <si>
    <t>önrész BK</t>
  </si>
  <si>
    <t>önrész VSZ</t>
  </si>
  <si>
    <t>önrész ITM</t>
  </si>
  <si>
    <t>önrész össz</t>
  </si>
  <si>
    <t>nem elszámolható</t>
  </si>
  <si>
    <t>össz hazai</t>
  </si>
  <si>
    <t>MK</t>
  </si>
  <si>
    <t>BK</t>
  </si>
  <si>
    <t>elszámolható TSZ</t>
  </si>
  <si>
    <t>el nem számolható TSZ</t>
  </si>
  <si>
    <t>cef tsz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</si>
</sst>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50">
    <xf numFmtId="0" fontId="0" fillId="0" borderId="0" xfId="0"/>
    <xf numFmtId="0" fontId="1" fillId="0" borderId="0" xfId="0" applyFont="1"/>
    <xf numFmtId="0" fontId="2" fillId="0" borderId="0" xfId="0" applyFont="1"/>
    <xf numFmtId="49" fontId="1" fillId="0" borderId="0" xfId="0" applyNumberFormat="1" applyFont="1"/>
    <xf numFmtId="0" fontId="1" fillId="0" borderId="45" xfId="0" applyFont="1" applyBorder="1"/>
    <xf numFmtId="0" fontId="1" fillId="0" borderId="49" xfId="0" applyFont="1" applyBorder="1"/>
    <xf numFmtId="0" fontId="1" fillId="0" borderId="49" xfId="0" applyFont="1" applyFill="1" applyBorder="1"/>
    <xf numFmtId="0" fontId="1" fillId="0" borderId="50" xfId="0" applyFont="1" applyFill="1" applyBorder="1"/>
    <xf numFmtId="0" fontId="1" fillId="0" borderId="43" xfId="0" applyFont="1" applyFill="1" applyBorder="1"/>
    <xf numFmtId="0" fontId="3" fillId="0" borderId="0" xfId="0" applyFont="1" applyFill="1"/>
    <xf numFmtId="0" fontId="3" fillId="0" borderId="0" xfId="0" applyFont="1"/>
    <xf numFmtId="0" fontId="1" fillId="0" borderId="3" xfId="0" applyFont="1" applyBorder="1"/>
    <xf numFmtId="0" fontId="1" fillId="0" borderId="0" xfId="0" applyFont="1" applyFill="1" applyBorder="1"/>
    <xf numFmtId="0" fontId="1" fillId="0" borderId="0" xfId="0" applyFont="1" applyFill="1"/>
    <xf numFmtId="0" fontId="1" fillId="0" borderId="1" xfId="0" applyFont="1" applyFill="1" applyBorder="1"/>
    <xf numFmtId="0" fontId="1" fillId="0" borderId="41" xfId="0" applyFont="1" applyFill="1" applyBorder="1"/>
    <xf numFmtId="3" fontId="3" fillId="0" borderId="0" xfId="0" applyNumberFormat="1" applyFont="1"/>
    <xf numFmtId="3" fontId="1" fillId="0" borderId="0" xfId="0" applyNumberFormat="1" applyFont="1" applyFill="1"/>
    <xf numFmtId="0" fontId="6" fillId="2" borderId="2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8" fillId="5" borderId="31" xfId="0" applyFont="1" applyFill="1" applyBorder="1" applyAlignment="1">
      <alignment horizontal="center" vertical="center" wrapText="1"/>
    </xf>
    <xf numFmtId="3" fontId="6" fillId="5" borderId="33" xfId="0" applyNumberFormat="1" applyFont="1" applyFill="1" applyBorder="1" applyAlignment="1">
      <alignment vertical="center" wrapText="1"/>
    </xf>
    <xf numFmtId="3" fontId="6" fillId="5" borderId="35" xfId="0" applyNumberFormat="1" applyFont="1" applyFill="1" applyBorder="1" applyAlignment="1">
      <alignment vertical="center" wrapText="1"/>
    </xf>
    <xf numFmtId="9" fontId="6" fillId="5" borderId="36" xfId="0" applyNumberFormat="1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center" vertical="center" wrapText="1"/>
    </xf>
    <xf numFmtId="4" fontId="7" fillId="3" borderId="28" xfId="0" applyNumberFormat="1" applyFont="1" applyFill="1" applyBorder="1" applyAlignment="1">
      <alignment vertical="center" wrapText="1"/>
    </xf>
    <xf numFmtId="3" fontId="7" fillId="0" borderId="3" xfId="0" applyNumberFormat="1" applyFont="1" applyFill="1" applyBorder="1" applyAlignment="1">
      <alignment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vertical="center" wrapText="1"/>
    </xf>
    <xf numFmtId="3" fontId="7" fillId="0" borderId="6" xfId="0" applyNumberFormat="1" applyFont="1" applyFill="1" applyBorder="1" applyAlignment="1">
      <alignment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vertical="center" wrapText="1"/>
    </xf>
    <xf numFmtId="4" fontId="7" fillId="0" borderId="2" xfId="0" applyNumberFormat="1" applyFont="1" applyFill="1" applyBorder="1" applyAlignment="1">
      <alignment vertical="center" wrapText="1"/>
    </xf>
    <xf numFmtId="9" fontId="7" fillId="0" borderId="11" xfId="0" applyNumberFormat="1" applyFont="1" applyFill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vertical="center" wrapText="1"/>
    </xf>
    <xf numFmtId="3" fontId="7" fillId="0" borderId="1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left" vertical="center" wrapText="1"/>
    </xf>
    <xf numFmtId="0" fontId="8" fillId="5" borderId="79" xfId="0" applyFont="1" applyFill="1" applyBorder="1" applyAlignment="1">
      <alignment horizontal="center" vertical="center" wrapText="1"/>
    </xf>
    <xf numFmtId="3" fontId="6" fillId="5" borderId="82" xfId="0" applyNumberFormat="1" applyFont="1" applyFill="1" applyBorder="1" applyAlignment="1">
      <alignment vertical="center" wrapText="1"/>
    </xf>
    <xf numFmtId="9" fontId="6" fillId="5" borderId="80" xfId="0" applyNumberFormat="1" applyFont="1" applyFill="1" applyBorder="1" applyAlignment="1">
      <alignment horizontal="center" vertical="center" wrapText="1"/>
    </xf>
    <xf numFmtId="0" fontId="6" fillId="5" borderId="79" xfId="0" applyFont="1" applyFill="1" applyBorder="1" applyAlignment="1">
      <alignment horizontal="center" vertical="center" wrapText="1"/>
    </xf>
    <xf numFmtId="0" fontId="9" fillId="0" borderId="46" xfId="0" applyFont="1" applyFill="1" applyBorder="1" applyAlignment="1">
      <alignment horizontal="left" vertical="center" wrapText="1"/>
    </xf>
    <xf numFmtId="0" fontId="9" fillId="0" borderId="46" xfId="0" applyFont="1" applyFill="1" applyBorder="1" applyAlignment="1">
      <alignment horizontal="center" vertical="center" wrapText="1"/>
    </xf>
    <xf numFmtId="4" fontId="7" fillId="3" borderId="46" xfId="0" applyNumberFormat="1" applyFont="1" applyFill="1" applyBorder="1" applyAlignment="1">
      <alignment vertical="center" wrapText="1"/>
    </xf>
    <xf numFmtId="3" fontId="7" fillId="0" borderId="45" xfId="0" applyNumberFormat="1" applyFont="1" applyFill="1" applyBorder="1" applyAlignment="1">
      <alignment vertical="center" wrapText="1"/>
    </xf>
    <xf numFmtId="4" fontId="7" fillId="0" borderId="45" xfId="0" applyNumberFormat="1" applyFont="1" applyFill="1" applyBorder="1" applyAlignment="1">
      <alignment vertical="center" wrapText="1"/>
    </xf>
    <xf numFmtId="9" fontId="7" fillId="0" borderId="48" xfId="0" applyNumberFormat="1" applyFont="1" applyFill="1" applyBorder="1" applyAlignment="1">
      <alignment horizontal="center" vertical="center" wrapText="1"/>
    </xf>
    <xf numFmtId="3" fontId="7" fillId="0" borderId="60" xfId="0" applyNumberFormat="1" applyFont="1" applyFill="1" applyBorder="1" applyAlignment="1">
      <alignment vertical="center" wrapText="1"/>
    </xf>
    <xf numFmtId="3" fontId="7" fillId="0" borderId="48" xfId="0" applyNumberFormat="1" applyFont="1" applyFill="1" applyBorder="1" applyAlignment="1">
      <alignment vertical="center" wrapText="1"/>
    </xf>
    <xf numFmtId="0" fontId="7" fillId="0" borderId="46" xfId="0" applyFont="1" applyFill="1" applyBorder="1" applyAlignment="1">
      <alignment horizontal="center" vertical="center" wrapText="1"/>
    </xf>
    <xf numFmtId="4" fontId="7" fillId="3" borderId="20" xfId="0" applyNumberFormat="1" applyFont="1" applyFill="1" applyBorder="1" applyAlignment="1">
      <alignment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center" vertical="center" wrapText="1"/>
    </xf>
    <xf numFmtId="4" fontId="7" fillId="3" borderId="37" xfId="0" applyNumberFormat="1" applyFont="1" applyFill="1" applyBorder="1" applyAlignment="1">
      <alignment vertical="center" wrapText="1"/>
    </xf>
    <xf numFmtId="4" fontId="7" fillId="3" borderId="38" xfId="0" applyNumberFormat="1" applyFont="1" applyFill="1" applyBorder="1" applyAlignment="1">
      <alignment vertical="center" wrapText="1"/>
    </xf>
    <xf numFmtId="3" fontId="7" fillId="0" borderId="41" xfId="0" applyNumberFormat="1" applyFont="1" applyFill="1" applyBorder="1" applyAlignment="1">
      <alignment vertical="center" wrapText="1"/>
    </xf>
    <xf numFmtId="9" fontId="7" fillId="0" borderId="42" xfId="0" applyNumberFormat="1" applyFont="1" applyFill="1" applyBorder="1" applyAlignment="1">
      <alignment horizontal="center" vertical="center" wrapText="1"/>
    </xf>
    <xf numFmtId="3" fontId="7" fillId="0" borderId="39" xfId="0" applyNumberFormat="1" applyFont="1" applyFill="1" applyBorder="1" applyAlignment="1">
      <alignment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6" fillId="0" borderId="54" xfId="0" applyFont="1" applyFill="1" applyBorder="1" applyAlignment="1">
      <alignment horizontal="left" vertical="center" wrapText="1"/>
    </xf>
    <xf numFmtId="0" fontId="6" fillId="5" borderId="51" xfId="0" applyFont="1" applyFill="1" applyBorder="1" applyAlignment="1">
      <alignment horizontal="center" vertical="center" wrapText="1"/>
    </xf>
    <xf numFmtId="3" fontId="6" fillId="5" borderId="59" xfId="0" applyNumberFormat="1" applyFont="1" applyFill="1" applyBorder="1" applyAlignment="1">
      <alignment vertical="center" wrapText="1"/>
    </xf>
    <xf numFmtId="4" fontId="6" fillId="5" borderId="59" xfId="0" applyNumberFormat="1" applyFont="1" applyFill="1" applyBorder="1" applyAlignment="1">
      <alignment vertical="center" wrapText="1"/>
    </xf>
    <xf numFmtId="3" fontId="6" fillId="5" borderId="55" xfId="0" applyNumberFormat="1" applyFont="1" applyFill="1" applyBorder="1" applyAlignment="1">
      <alignment vertical="center" wrapText="1"/>
    </xf>
    <xf numFmtId="4" fontId="6" fillId="5" borderId="57" xfId="0" applyNumberFormat="1" applyFont="1" applyFill="1" applyBorder="1" applyAlignment="1">
      <alignment vertical="center" wrapText="1"/>
    </xf>
    <xf numFmtId="9" fontId="6" fillId="5" borderId="58" xfId="0" applyNumberFormat="1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left" vertical="center" wrapText="1"/>
    </xf>
    <xf numFmtId="4" fontId="7" fillId="0" borderId="47" xfId="0" applyNumberFormat="1" applyFont="1" applyFill="1" applyBorder="1" applyAlignment="1">
      <alignment vertical="center" wrapText="1"/>
    </xf>
    <xf numFmtId="0" fontId="7" fillId="0" borderId="20" xfId="0" applyFont="1" applyFill="1" applyBorder="1" applyAlignment="1">
      <alignment horizontal="left" vertical="center" wrapText="1"/>
    </xf>
    <xf numFmtId="3" fontId="9" fillId="0" borderId="43" xfId="0" applyNumberFormat="1" applyFont="1" applyFill="1" applyBorder="1"/>
    <xf numFmtId="0" fontId="7" fillId="0" borderId="38" xfId="0" applyFont="1" applyFill="1" applyBorder="1" applyAlignment="1">
      <alignment horizontal="left" vertical="center" wrapText="1"/>
    </xf>
    <xf numFmtId="3" fontId="9" fillId="0" borderId="50" xfId="0" applyNumberFormat="1" applyFont="1" applyFill="1" applyBorder="1"/>
    <xf numFmtId="4" fontId="6" fillId="5" borderId="51" xfId="0" applyNumberFormat="1" applyFont="1" applyFill="1" applyBorder="1" applyAlignment="1">
      <alignment horizontal="center" vertical="center" wrapText="1"/>
    </xf>
    <xf numFmtId="4" fontId="6" fillId="5" borderId="51" xfId="0" applyNumberFormat="1" applyFont="1" applyFill="1" applyBorder="1" applyAlignment="1">
      <alignment horizontal="right" vertical="center" wrapText="1"/>
    </xf>
    <xf numFmtId="3" fontId="9" fillId="4" borderId="45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vertical="center" wrapText="1"/>
    </xf>
    <xf numFmtId="4" fontId="7" fillId="0" borderId="20" xfId="0" applyNumberFormat="1" applyFont="1" applyFill="1" applyBorder="1" applyAlignment="1">
      <alignment horizontal="center" vertical="center" wrapText="1"/>
    </xf>
    <xf numFmtId="43" fontId="7" fillId="3" borderId="20" xfId="2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4" fontId="7" fillId="3" borderId="24" xfId="0" applyNumberFormat="1" applyFont="1" applyFill="1" applyBorder="1" applyAlignment="1">
      <alignment vertical="center" wrapText="1"/>
    </xf>
    <xf numFmtId="9" fontId="7" fillId="0" borderId="62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4" fontId="7" fillId="0" borderId="24" xfId="0" applyNumberFormat="1" applyFont="1" applyFill="1" applyBorder="1" applyAlignment="1">
      <alignment horizontal="center" vertical="center" wrapText="1"/>
    </xf>
    <xf numFmtId="0" fontId="8" fillId="5" borderId="51" xfId="0" applyFont="1" applyFill="1" applyBorder="1" applyAlignment="1">
      <alignment horizontal="center" vertical="center" wrapText="1"/>
    </xf>
    <xf numFmtId="3" fontId="9" fillId="3" borderId="46" xfId="0" applyNumberFormat="1" applyFont="1" applyFill="1" applyBorder="1" applyAlignment="1">
      <alignment horizontal="center" vertical="center" wrapText="1"/>
    </xf>
    <xf numFmtId="9" fontId="9" fillId="4" borderId="48" xfId="0" applyNumberFormat="1" applyFont="1" applyFill="1" applyBorder="1" applyAlignment="1">
      <alignment horizontal="center" vertical="center" wrapText="1"/>
    </xf>
    <xf numFmtId="3" fontId="9" fillId="4" borderId="60" xfId="0" applyNumberFormat="1" applyFont="1" applyFill="1" applyBorder="1" applyAlignment="1">
      <alignment vertical="center" wrapText="1"/>
    </xf>
    <xf numFmtId="3" fontId="9" fillId="4" borderId="48" xfId="0" applyNumberFormat="1" applyFont="1" applyFill="1" applyBorder="1" applyAlignment="1">
      <alignment vertical="center" wrapText="1"/>
    </xf>
    <xf numFmtId="3" fontId="9" fillId="0" borderId="45" xfId="0" applyNumberFormat="1" applyFont="1" applyFill="1" applyBorder="1" applyAlignment="1">
      <alignment vertical="center" wrapText="1"/>
    </xf>
    <xf numFmtId="4" fontId="9" fillId="0" borderId="46" xfId="0" applyNumberFormat="1" applyFont="1" applyFill="1" applyBorder="1" applyAlignment="1">
      <alignment horizontal="center" vertical="center" wrapText="1"/>
    </xf>
    <xf numFmtId="3" fontId="9" fillId="3" borderId="20" xfId="0" applyNumberFormat="1" applyFont="1" applyFill="1" applyBorder="1" applyAlignment="1">
      <alignment horizontal="center" vertical="center" wrapText="1"/>
    </xf>
    <xf numFmtId="9" fontId="9" fillId="4" borderId="11" xfId="0" applyNumberFormat="1" applyFont="1" applyFill="1" applyBorder="1" applyAlignment="1">
      <alignment horizontal="center" vertical="center" wrapText="1"/>
    </xf>
    <xf numFmtId="3" fontId="9" fillId="4" borderId="10" xfId="0" applyNumberFormat="1" applyFont="1" applyFill="1" applyBorder="1" applyAlignment="1">
      <alignment vertical="center" wrapText="1"/>
    </xf>
    <xf numFmtId="4" fontId="9" fillId="0" borderId="20" xfId="0" applyNumberFormat="1" applyFont="1" applyFill="1" applyBorder="1" applyAlignment="1">
      <alignment horizontal="center" vertical="center" wrapText="1"/>
    </xf>
    <xf numFmtId="9" fontId="9" fillId="0" borderId="11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vertical="center" wrapText="1"/>
    </xf>
    <xf numFmtId="3" fontId="9" fillId="0" borderId="11" xfId="0" applyNumberFormat="1" applyFont="1" applyFill="1" applyBorder="1" applyAlignment="1">
      <alignment vertical="center" wrapText="1"/>
    </xf>
    <xf numFmtId="3" fontId="9" fillId="3" borderId="20" xfId="2" applyNumberFormat="1" applyFont="1" applyFill="1" applyBorder="1" applyAlignment="1">
      <alignment horizontal="center" vertical="center" wrapText="1"/>
    </xf>
    <xf numFmtId="0" fontId="9" fillId="0" borderId="85" xfId="0" applyFont="1" applyFill="1" applyBorder="1" applyAlignment="1">
      <alignment horizontal="left" vertical="center" wrapText="1"/>
    </xf>
    <xf numFmtId="0" fontId="9" fillId="0" borderId="85" xfId="0" applyFont="1" applyFill="1" applyBorder="1" applyAlignment="1">
      <alignment horizontal="center" vertical="center" wrapText="1"/>
    </xf>
    <xf numFmtId="3" fontId="9" fillId="3" borderId="85" xfId="2" applyNumberFormat="1" applyFont="1" applyFill="1" applyBorder="1" applyAlignment="1">
      <alignment horizontal="center" vertical="center" wrapText="1"/>
    </xf>
    <xf numFmtId="3" fontId="9" fillId="0" borderId="53" xfId="0" applyNumberFormat="1" applyFont="1" applyFill="1" applyBorder="1" applyAlignment="1">
      <alignment vertical="center" wrapText="1"/>
    </xf>
    <xf numFmtId="9" fontId="9" fillId="0" borderId="88" xfId="0" applyNumberFormat="1" applyFont="1" applyFill="1" applyBorder="1" applyAlignment="1">
      <alignment horizontal="center" vertical="center" wrapText="1"/>
    </xf>
    <xf numFmtId="3" fontId="9" fillId="0" borderId="86" xfId="0" applyNumberFormat="1" applyFont="1" applyFill="1" applyBorder="1" applyAlignment="1">
      <alignment vertical="center" wrapText="1"/>
    </xf>
    <xf numFmtId="4" fontId="9" fillId="0" borderId="85" xfId="0" applyNumberFormat="1" applyFont="1" applyFill="1" applyBorder="1" applyAlignment="1">
      <alignment horizontal="center" vertical="center" wrapText="1"/>
    </xf>
    <xf numFmtId="49" fontId="9" fillId="3" borderId="63" xfId="0" applyNumberFormat="1" applyFont="1" applyFill="1" applyBorder="1" applyAlignment="1">
      <alignment vertical="center"/>
    </xf>
    <xf numFmtId="0" fontId="6" fillId="0" borderId="64" xfId="0" applyFont="1" applyFill="1" applyBorder="1" applyAlignment="1">
      <alignment horizontal="left" vertical="center" wrapText="1"/>
    </xf>
    <xf numFmtId="0" fontId="6" fillId="5" borderId="63" xfId="0" applyFont="1" applyFill="1" applyBorder="1" applyAlignment="1">
      <alignment vertical="center" wrapText="1"/>
    </xf>
    <xf numFmtId="3" fontId="6" fillId="5" borderId="65" xfId="0" applyNumberFormat="1" applyFont="1" applyFill="1" applyBorder="1" applyAlignment="1">
      <alignment vertical="center" wrapText="1"/>
    </xf>
    <xf numFmtId="9" fontId="6" fillId="5" borderId="68" xfId="0" applyNumberFormat="1" applyFont="1" applyFill="1" applyBorder="1" applyAlignment="1">
      <alignment horizontal="center" vertical="center" wrapText="1"/>
    </xf>
    <xf numFmtId="3" fontId="6" fillId="5" borderId="66" xfId="0" applyNumberFormat="1" applyFont="1" applyFill="1" applyBorder="1" applyAlignment="1">
      <alignment vertical="center" wrapText="1"/>
    </xf>
    <xf numFmtId="0" fontId="7" fillId="3" borderId="63" xfId="0" applyFont="1" applyFill="1" applyBorder="1" applyAlignment="1">
      <alignment horizontal="center" vertical="center" wrapText="1"/>
    </xf>
    <xf numFmtId="49" fontId="9" fillId="3" borderId="27" xfId="0" applyNumberFormat="1" applyFont="1" applyFill="1" applyBorder="1" applyAlignment="1">
      <alignment vertical="center"/>
    </xf>
    <xf numFmtId="0" fontId="8" fillId="3" borderId="27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center" vertical="center" wrapText="1"/>
    </xf>
    <xf numFmtId="4" fontId="8" fillId="3" borderId="28" xfId="0" applyNumberFormat="1" applyFont="1" applyFill="1" applyBorder="1" applyAlignment="1">
      <alignment vertical="center" wrapText="1"/>
    </xf>
    <xf numFmtId="3" fontId="8" fillId="0" borderId="3" xfId="0" applyNumberFormat="1" applyFont="1" applyFill="1" applyBorder="1" applyAlignment="1">
      <alignment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vertical="center" wrapText="1"/>
    </xf>
    <xf numFmtId="3" fontId="8" fillId="0" borderId="8" xfId="0" applyNumberFormat="1" applyFont="1" applyFill="1" applyBorder="1" applyAlignment="1">
      <alignment vertical="center" wrapText="1"/>
    </xf>
    <xf numFmtId="3" fontId="8" fillId="4" borderId="3" xfId="0" applyNumberFormat="1" applyFont="1" applyFill="1" applyBorder="1" applyAlignment="1">
      <alignment vertical="center" wrapText="1"/>
    </xf>
    <xf numFmtId="0" fontId="9" fillId="3" borderId="19" xfId="0" applyFont="1" applyFill="1" applyBorder="1" applyAlignment="1">
      <alignment horizontal="center" vertical="center" wrapText="1"/>
    </xf>
    <xf numFmtId="49" fontId="9" fillId="3" borderId="16" xfId="0" applyNumberFormat="1" applyFont="1" applyFill="1" applyBorder="1" applyAlignment="1">
      <alignment vertical="center"/>
    </xf>
    <xf numFmtId="0" fontId="8" fillId="3" borderId="16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vertical="center" wrapText="1"/>
    </xf>
    <xf numFmtId="9" fontId="8" fillId="0" borderId="11" xfId="0" applyNumberFormat="1" applyFont="1" applyFill="1" applyBorder="1" applyAlignment="1">
      <alignment horizontal="center" vertical="center" wrapText="1"/>
    </xf>
    <xf numFmtId="3" fontId="8" fillId="0" borderId="10" xfId="0" applyNumberFormat="1" applyFont="1" applyFill="1" applyBorder="1" applyAlignment="1">
      <alignment vertical="center" wrapText="1"/>
    </xf>
    <xf numFmtId="0" fontId="9" fillId="3" borderId="20" xfId="0" applyFont="1" applyFill="1" applyBorder="1" applyAlignment="1">
      <alignment horizontal="center" vertical="center" wrapText="1"/>
    </xf>
    <xf numFmtId="49" fontId="9" fillId="3" borderId="17" xfId="0" applyNumberFormat="1" applyFont="1" applyFill="1" applyBorder="1" applyAlignment="1">
      <alignment vertical="center"/>
    </xf>
    <xf numFmtId="0" fontId="8" fillId="3" borderId="17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center" vertical="center" wrapText="1"/>
    </xf>
    <xf numFmtId="4" fontId="8" fillId="3" borderId="21" xfId="0" applyNumberFormat="1" applyFont="1" applyFill="1" applyBorder="1" applyAlignment="1">
      <alignment vertical="center" wrapText="1"/>
    </xf>
    <xf numFmtId="3" fontId="8" fillId="0" borderId="13" xfId="0" applyNumberFormat="1" applyFont="1" applyFill="1" applyBorder="1" applyAlignment="1">
      <alignment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2" xfId="0" applyNumberFormat="1" applyFont="1" applyFill="1" applyBorder="1" applyAlignment="1">
      <alignment vertical="center" wrapText="1"/>
    </xf>
    <xf numFmtId="0" fontId="9" fillId="3" borderId="21" xfId="0" applyFont="1" applyFill="1" applyBorder="1" applyAlignment="1">
      <alignment horizontal="center" vertical="center" wrapText="1"/>
    </xf>
    <xf numFmtId="49" fontId="9" fillId="0" borderId="0" xfId="0" applyNumberFormat="1" applyFont="1"/>
    <xf numFmtId="0" fontId="9" fillId="0" borderId="0" xfId="0" applyFont="1"/>
    <xf numFmtId="4" fontId="9" fillId="0" borderId="0" xfId="0" applyNumberFormat="1" applyFont="1"/>
    <xf numFmtId="9" fontId="9" fillId="0" borderId="0" xfId="1" applyFont="1"/>
    <xf numFmtId="0" fontId="6" fillId="0" borderId="20" xfId="0" applyFont="1" applyFill="1" applyBorder="1" applyAlignment="1">
      <alignment horizontal="center" vertical="center" wrapText="1"/>
    </xf>
    <xf numFmtId="3" fontId="9" fillId="0" borderId="0" xfId="0" applyNumberFormat="1" applyFont="1"/>
    <xf numFmtId="3" fontId="7" fillId="0" borderId="2" xfId="0" applyNumberFormat="1" applyFont="1" applyFill="1" applyBorder="1" applyAlignment="1">
      <alignment vertical="center" wrapText="1"/>
    </xf>
    <xf numFmtId="3" fontId="7" fillId="0" borderId="16" xfId="0" applyNumberFormat="1" applyFont="1" applyFill="1" applyBorder="1" applyAlignment="1">
      <alignment vertical="center" wrapText="1"/>
    </xf>
    <xf numFmtId="3" fontId="7" fillId="0" borderId="77" xfId="0" applyNumberFormat="1" applyFont="1" applyFill="1" applyBorder="1" applyAlignment="1">
      <alignment vertical="center" wrapText="1"/>
    </xf>
    <xf numFmtId="4" fontId="8" fillId="3" borderId="20" xfId="0" applyNumberFormat="1" applyFont="1" applyFill="1" applyBorder="1" applyAlignment="1">
      <alignment vertical="center" wrapText="1"/>
    </xf>
    <xf numFmtId="3" fontId="6" fillId="5" borderId="63" xfId="0" applyNumberFormat="1" applyFont="1" applyFill="1" applyBorder="1" applyAlignment="1">
      <alignment vertical="center" wrapText="1"/>
    </xf>
    <xf numFmtId="4" fontId="7" fillId="3" borderId="16" xfId="0" applyNumberFormat="1" applyFont="1" applyFill="1" applyBorder="1" applyAlignment="1">
      <alignment vertical="center" wrapText="1"/>
    </xf>
    <xf numFmtId="3" fontId="6" fillId="5" borderId="34" xfId="0" applyNumberFormat="1" applyFont="1" applyFill="1" applyBorder="1" applyAlignment="1">
      <alignment vertical="center" wrapText="1"/>
    </xf>
    <xf numFmtId="3" fontId="7" fillId="0" borderId="26" xfId="0" applyNumberFormat="1" applyFont="1" applyFill="1" applyBorder="1" applyAlignment="1">
      <alignment vertical="center" wrapText="1"/>
    </xf>
    <xf numFmtId="3" fontId="6" fillId="5" borderId="81" xfId="0" applyNumberFormat="1" applyFont="1" applyFill="1" applyBorder="1" applyAlignment="1">
      <alignment vertical="center" wrapText="1"/>
    </xf>
    <xf numFmtId="3" fontId="6" fillId="5" borderId="83" xfId="0" applyNumberFormat="1" applyFont="1" applyFill="1" applyBorder="1" applyAlignment="1">
      <alignment vertical="center" wrapText="1"/>
    </xf>
    <xf numFmtId="3" fontId="6" fillId="5" borderId="57" xfId="0" applyNumberFormat="1" applyFont="1" applyFill="1" applyBorder="1" applyAlignment="1">
      <alignment vertical="center" wrapText="1"/>
    </xf>
    <xf numFmtId="3" fontId="7" fillId="0" borderId="47" xfId="0" applyNumberFormat="1" applyFont="1" applyFill="1" applyBorder="1" applyAlignment="1">
      <alignment vertical="center" wrapText="1"/>
    </xf>
    <xf numFmtId="3" fontId="7" fillId="0" borderId="40" xfId="0" applyNumberFormat="1" applyFont="1" applyFill="1" applyBorder="1" applyAlignment="1">
      <alignment vertical="center" wrapText="1"/>
    </xf>
    <xf numFmtId="3" fontId="9" fillId="4" borderId="47" xfId="0" applyNumberFormat="1" applyFont="1" applyFill="1" applyBorder="1" applyAlignment="1">
      <alignment vertical="center" wrapText="1"/>
    </xf>
    <xf numFmtId="3" fontId="9" fillId="4" borderId="2" xfId="0" applyNumberFormat="1" applyFont="1" applyFill="1" applyBorder="1" applyAlignment="1">
      <alignment vertical="center" wrapText="1"/>
    </xf>
    <xf numFmtId="3" fontId="9" fillId="0" borderId="2" xfId="0" applyNumberFormat="1" applyFont="1" applyFill="1" applyBorder="1" applyAlignment="1">
      <alignment vertical="center" wrapText="1"/>
    </xf>
    <xf numFmtId="3" fontId="9" fillId="0" borderId="87" xfId="0" applyNumberFormat="1" applyFont="1" applyFill="1" applyBorder="1" applyAlignment="1">
      <alignment vertical="center" wrapText="1"/>
    </xf>
    <xf numFmtId="3" fontId="8" fillId="0" borderId="5" xfId="0" applyNumberFormat="1" applyFont="1" applyFill="1" applyBorder="1" applyAlignment="1">
      <alignment vertical="center" wrapText="1"/>
    </xf>
    <xf numFmtId="3" fontId="6" fillId="5" borderId="36" xfId="0" applyNumberFormat="1" applyFont="1" applyFill="1" applyBorder="1" applyAlignment="1">
      <alignment vertical="center" wrapText="1"/>
    </xf>
    <xf numFmtId="3" fontId="7" fillId="0" borderId="42" xfId="0" applyNumberFormat="1" applyFont="1" applyFill="1" applyBorder="1" applyAlignment="1">
      <alignment vertical="center" wrapText="1"/>
    </xf>
    <xf numFmtId="3" fontId="6" fillId="5" borderId="80" xfId="0" applyNumberFormat="1" applyFont="1" applyFill="1" applyBorder="1" applyAlignment="1">
      <alignment vertical="center" wrapText="1"/>
    </xf>
    <xf numFmtId="3" fontId="6" fillId="5" borderId="56" xfId="0" applyNumberFormat="1" applyFont="1" applyFill="1" applyBorder="1" applyAlignment="1">
      <alignment vertical="center" wrapText="1"/>
    </xf>
    <xf numFmtId="3" fontId="6" fillId="5" borderId="58" xfId="0" applyNumberFormat="1" applyFont="1" applyFill="1" applyBorder="1" applyAlignment="1">
      <alignment vertical="center" wrapText="1"/>
    </xf>
    <xf numFmtId="3" fontId="9" fillId="4" borderId="11" xfId="0" applyNumberFormat="1" applyFont="1" applyFill="1" applyBorder="1" applyAlignment="1">
      <alignment vertical="center" wrapText="1"/>
    </xf>
    <xf numFmtId="3" fontId="9" fillId="0" borderId="88" xfId="0" applyNumberFormat="1" applyFont="1" applyFill="1" applyBorder="1" applyAlignment="1">
      <alignment vertical="center" wrapText="1"/>
    </xf>
    <xf numFmtId="3" fontId="6" fillId="5" borderId="71" xfId="0" applyNumberFormat="1" applyFont="1" applyFill="1" applyBorder="1" applyAlignment="1">
      <alignment vertical="center" wrapText="1"/>
    </xf>
    <xf numFmtId="3" fontId="8" fillId="0" borderId="9" xfId="0" applyNumberFormat="1" applyFont="1" applyFill="1" applyBorder="1" applyAlignment="1">
      <alignment vertical="center" wrapText="1"/>
    </xf>
    <xf numFmtId="3" fontId="8" fillId="0" borderId="11" xfId="0" applyNumberFormat="1" applyFont="1" applyFill="1" applyBorder="1" applyAlignment="1">
      <alignment vertical="center" wrapText="1"/>
    </xf>
    <xf numFmtId="3" fontId="8" fillId="0" borderId="14" xfId="0" applyNumberFormat="1" applyFont="1" applyFill="1" applyBorder="1" applyAlignment="1">
      <alignment vertical="center" wrapText="1"/>
    </xf>
    <xf numFmtId="3" fontId="9" fillId="0" borderId="48" xfId="0" applyNumberFormat="1" applyFont="1" applyFill="1" applyBorder="1" applyAlignment="1">
      <alignment vertical="center" wrapText="1"/>
    </xf>
    <xf numFmtId="3" fontId="9" fillId="0" borderId="44" xfId="0" applyNumberFormat="1" applyFont="1" applyFill="1" applyBorder="1" applyAlignment="1">
      <alignment vertical="center" wrapText="1"/>
    </xf>
    <xf numFmtId="3" fontId="9" fillId="0" borderId="75" xfId="0" applyNumberFormat="1" applyFont="1" applyFill="1" applyBorder="1" applyAlignment="1">
      <alignment vertical="center" wrapText="1"/>
    </xf>
    <xf numFmtId="3" fontId="9" fillId="0" borderId="16" xfId="0" applyNumberFormat="1" applyFont="1" applyFill="1" applyBorder="1" applyAlignment="1">
      <alignment vertical="center" wrapText="1"/>
    </xf>
    <xf numFmtId="3" fontId="9" fillId="0" borderId="77" xfId="0" applyNumberFormat="1" applyFont="1" applyFill="1" applyBorder="1" applyAlignment="1">
      <alignment vertical="center" wrapText="1"/>
    </xf>
    <xf numFmtId="3" fontId="9" fillId="0" borderId="52" xfId="0" applyNumberFormat="1" applyFont="1" applyFill="1" applyBorder="1" applyAlignment="1">
      <alignment vertical="center" wrapText="1"/>
    </xf>
    <xf numFmtId="3" fontId="9" fillId="0" borderId="76" xfId="0" applyNumberFormat="1" applyFont="1" applyFill="1" applyBorder="1" applyAlignment="1">
      <alignment vertical="center" wrapText="1"/>
    </xf>
    <xf numFmtId="3" fontId="6" fillId="5" borderId="70" xfId="0" applyNumberFormat="1" applyFont="1" applyFill="1" applyBorder="1" applyAlignment="1">
      <alignment vertical="center" wrapText="1"/>
    </xf>
    <xf numFmtId="3" fontId="6" fillId="5" borderId="68" xfId="0" applyNumberFormat="1" applyFont="1" applyFill="1" applyBorder="1" applyAlignment="1">
      <alignment vertical="center" wrapText="1"/>
    </xf>
    <xf numFmtId="3" fontId="6" fillId="5" borderId="64" xfId="0" applyNumberFormat="1" applyFont="1" applyFill="1" applyBorder="1" applyAlignment="1">
      <alignment vertical="center" wrapText="1"/>
    </xf>
    <xf numFmtId="3" fontId="8" fillId="4" borderId="5" xfId="0" applyNumberFormat="1" applyFont="1" applyFill="1" applyBorder="1" applyAlignment="1">
      <alignment vertical="center" wrapText="1"/>
    </xf>
    <xf numFmtId="3" fontId="8" fillId="4" borderId="6" xfId="0" applyNumberFormat="1" applyFont="1" applyFill="1" applyBorder="1" applyAlignment="1">
      <alignment vertical="center" wrapText="1"/>
    </xf>
    <xf numFmtId="3" fontId="8" fillId="4" borderId="10" xfId="0" applyNumberFormat="1" applyFont="1" applyFill="1" applyBorder="1" applyAlignment="1">
      <alignment vertical="center" wrapText="1"/>
    </xf>
    <xf numFmtId="3" fontId="8" fillId="4" borderId="1" xfId="0" applyNumberFormat="1" applyFont="1" applyFill="1" applyBorder="1" applyAlignment="1">
      <alignment vertical="center" wrapText="1"/>
    </xf>
    <xf numFmtId="3" fontId="8" fillId="4" borderId="12" xfId="0" applyNumberFormat="1" applyFont="1" applyFill="1" applyBorder="1" applyAlignment="1">
      <alignment vertical="center" wrapText="1"/>
    </xf>
    <xf numFmtId="3" fontId="8" fillId="4" borderId="13" xfId="0" applyNumberFormat="1" applyFont="1" applyFill="1" applyBorder="1" applyAlignment="1">
      <alignment vertical="center" wrapText="1"/>
    </xf>
    <xf numFmtId="3" fontId="8" fillId="4" borderId="14" xfId="0" applyNumberFormat="1" applyFont="1" applyFill="1" applyBorder="1" applyAlignment="1">
      <alignment vertical="center" wrapText="1"/>
    </xf>
    <xf numFmtId="3" fontId="6" fillId="5" borderId="54" xfId="0" applyNumberFormat="1" applyFont="1" applyFill="1" applyBorder="1" applyAlignment="1">
      <alignment vertical="center" wrapText="1"/>
    </xf>
    <xf numFmtId="3" fontId="6" fillId="5" borderId="74" xfId="0" applyNumberFormat="1" applyFont="1" applyFill="1" applyBorder="1" applyAlignment="1">
      <alignment vertical="center" wrapText="1"/>
    </xf>
    <xf numFmtId="3" fontId="7" fillId="0" borderId="44" xfId="0" applyNumberFormat="1" applyFont="1" applyFill="1" applyBorder="1" applyAlignment="1">
      <alignment vertical="center" wrapText="1"/>
    </xf>
    <xf numFmtId="3" fontId="7" fillId="0" borderId="75" xfId="0" applyNumberFormat="1" applyFont="1" applyFill="1" applyBorder="1" applyAlignment="1">
      <alignment vertical="center" wrapText="1"/>
    </xf>
    <xf numFmtId="3" fontId="7" fillId="0" borderId="38" xfId="0" applyNumberFormat="1" applyFont="1" applyFill="1" applyBorder="1" applyAlignment="1">
      <alignment vertical="center" wrapText="1"/>
    </xf>
    <xf numFmtId="3" fontId="7" fillId="0" borderId="73" xfId="0" applyNumberFormat="1" applyFont="1" applyFill="1" applyBorder="1" applyAlignment="1">
      <alignment vertical="center" wrapText="1"/>
    </xf>
    <xf numFmtId="3" fontId="8" fillId="5" borderId="59" xfId="0" applyNumberFormat="1" applyFont="1" applyFill="1" applyBorder="1" applyAlignment="1">
      <alignment vertical="center" wrapText="1"/>
    </xf>
    <xf numFmtId="3" fontId="8" fillId="5" borderId="56" xfId="0" applyNumberFormat="1" applyFont="1" applyFill="1" applyBorder="1" applyAlignment="1">
      <alignment vertical="center" wrapText="1"/>
    </xf>
    <xf numFmtId="3" fontId="6" fillId="5" borderId="32" xfId="0" applyNumberFormat="1" applyFont="1" applyFill="1" applyBorder="1" applyAlignment="1">
      <alignment vertical="center" wrapText="1"/>
    </xf>
    <xf numFmtId="3" fontId="6" fillId="5" borderId="72" xfId="0" applyNumberFormat="1" applyFont="1" applyFill="1" applyBorder="1" applyAlignment="1">
      <alignment vertical="center" wrapText="1"/>
    </xf>
    <xf numFmtId="3" fontId="7" fillId="0" borderId="27" xfId="0" applyNumberFormat="1" applyFont="1" applyFill="1" applyBorder="1" applyAlignment="1">
      <alignment vertical="center" wrapText="1"/>
    </xf>
    <xf numFmtId="3" fontId="7" fillId="0" borderId="67" xfId="0" applyNumberFormat="1" applyFont="1" applyFill="1" applyBorder="1" applyAlignment="1">
      <alignment vertical="center" wrapText="1"/>
    </xf>
    <xf numFmtId="3" fontId="6" fillId="5" borderId="78" xfId="0" applyNumberFormat="1" applyFont="1" applyFill="1" applyBorder="1" applyAlignment="1">
      <alignment vertical="center" wrapText="1"/>
    </xf>
    <xf numFmtId="3" fontId="6" fillId="5" borderId="84" xfId="0" applyNumberFormat="1" applyFont="1" applyFill="1" applyBorder="1" applyAlignment="1">
      <alignment vertical="center" wrapText="1"/>
    </xf>
    <xf numFmtId="0" fontId="6" fillId="0" borderId="89" xfId="0" applyFont="1" applyFill="1" applyBorder="1" applyAlignment="1">
      <alignment vertical="center" wrapText="1"/>
    </xf>
    <xf numFmtId="0" fontId="7" fillId="0" borderId="37" xfId="0" applyFont="1" applyFill="1" applyBorder="1" applyAlignment="1">
      <alignment horizontal="left" vertical="center" wrapText="1"/>
    </xf>
    <xf numFmtId="0" fontId="6" fillId="0" borderId="78" xfId="0" applyFont="1" applyFill="1" applyBorder="1" applyAlignment="1">
      <alignment horizontal="left" vertical="center" wrapText="1"/>
    </xf>
    <xf numFmtId="3" fontId="6" fillId="5" borderId="90" xfId="0" applyNumberFormat="1" applyFont="1" applyFill="1" applyBorder="1" applyAlignment="1">
      <alignment vertical="center" wrapText="1"/>
    </xf>
    <xf numFmtId="0" fontId="9" fillId="0" borderId="38" xfId="0" applyFont="1" applyFill="1" applyBorder="1" applyAlignment="1">
      <alignment horizontal="left" vertical="center" wrapText="1"/>
    </xf>
    <xf numFmtId="49" fontId="8" fillId="0" borderId="32" xfId="0" applyNumberFormat="1" applyFont="1" applyFill="1" applyBorder="1" applyAlignment="1">
      <alignment horizontal="center" vertical="center"/>
    </xf>
    <xf numFmtId="49" fontId="9" fillId="0" borderId="27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38" xfId="0" applyNumberFormat="1" applyFont="1" applyFill="1" applyBorder="1" applyAlignment="1">
      <alignment horizontal="center" vertical="center"/>
    </xf>
    <xf numFmtId="49" fontId="8" fillId="0" borderId="78" xfId="0" applyNumberFormat="1" applyFont="1" applyFill="1" applyBorder="1" applyAlignment="1">
      <alignment horizontal="center" vertical="center"/>
    </xf>
    <xf numFmtId="49" fontId="9" fillId="0" borderId="44" xfId="0" applyNumberFormat="1" applyFont="1" applyFill="1" applyBorder="1" applyAlignment="1">
      <alignment horizontal="center" vertical="center"/>
    </xf>
    <xf numFmtId="49" fontId="8" fillId="0" borderId="54" xfId="0" applyNumberFormat="1" applyFont="1" applyFill="1" applyBorder="1" applyAlignment="1">
      <alignment horizontal="center" vertical="center"/>
    </xf>
    <xf numFmtId="49" fontId="9" fillId="0" borderId="52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1" fillId="0" borderId="0" xfId="0" applyNumberFormat="1" applyFont="1"/>
    <xf numFmtId="0" fontId="6" fillId="2" borderId="2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49" fontId="6" fillId="2" borderId="29" xfId="0" applyNumberFormat="1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center" vertical="center" wrapText="1"/>
    </xf>
    <xf numFmtId="49" fontId="6" fillId="2" borderId="30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67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61" xfId="0" applyFont="1" applyFill="1" applyBorder="1" applyAlignment="1">
      <alignment horizontal="center" vertical="center" wrapText="1"/>
    </xf>
    <xf numFmtId="0" fontId="6" fillId="2" borderId="69" xfId="0" applyFont="1" applyFill="1" applyBorder="1" applyAlignment="1">
      <alignment horizontal="center" vertical="center" wrapText="1"/>
    </xf>
  </cellXfs>
  <cellStyles count="3">
    <cellStyle name="Ezres" xfId="2" builtinId="3"/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P54"/>
  <sheetViews>
    <sheetView tabSelected="1" view="pageBreakPreview" zoomScale="60" zoomScaleNormal="40" workbookViewId="0">
      <pane xSplit="3" ySplit="3" topLeftCell="D17" activePane="bottomRight" state="frozen"/>
      <selection pane="topRight" activeCell="D1" sqref="D1"/>
      <selection pane="bottomLeft" activeCell="A4" sqref="A4"/>
      <selection pane="bottomRight" activeCell="G57" sqref="G57"/>
    </sheetView>
  </sheetViews>
  <sheetFormatPr defaultRowHeight="12.75" x14ac:dyDescent="0.2"/>
  <cols>
    <col min="1" max="1" width="17.5703125" style="3" customWidth="1"/>
    <col min="2" max="2" width="46.85546875" style="1" customWidth="1"/>
    <col min="3" max="3" width="25.7109375" style="1" customWidth="1"/>
    <col min="4" max="4" width="17.85546875" style="1" bestFit="1" customWidth="1"/>
    <col min="5" max="8" width="19.7109375" style="1" customWidth="1"/>
    <col min="9" max="9" width="11.7109375" style="1" customWidth="1"/>
    <col min="10" max="18" width="19.7109375" style="1" customWidth="1"/>
    <col min="19" max="19" width="20.140625" style="1" customWidth="1"/>
    <col min="20" max="20" width="20.42578125" style="1" customWidth="1"/>
    <col min="21" max="21" width="9.140625" style="1"/>
    <col min="22" max="22" width="18.5703125" style="1" bestFit="1" customWidth="1"/>
    <col min="23" max="23" width="17.28515625" style="1" bestFit="1" customWidth="1"/>
    <col min="24" max="24" width="18.5703125" style="1" bestFit="1" customWidth="1"/>
    <col min="25" max="16384" width="9.140625" style="1"/>
  </cols>
  <sheetData>
    <row r="1" spans="1:146" ht="50.1" customHeight="1" x14ac:dyDescent="0.2">
      <c r="A1" s="230" t="s">
        <v>4</v>
      </c>
      <c r="B1" s="227" t="s">
        <v>16</v>
      </c>
      <c r="C1" s="233" t="s">
        <v>0</v>
      </c>
      <c r="D1" s="235" t="s">
        <v>19</v>
      </c>
      <c r="E1" s="236"/>
      <c r="F1" s="236"/>
      <c r="G1" s="236"/>
      <c r="H1" s="236"/>
      <c r="I1" s="237"/>
      <c r="J1" s="235" t="s">
        <v>14</v>
      </c>
      <c r="K1" s="236"/>
      <c r="L1" s="237"/>
      <c r="M1" s="235" t="s">
        <v>21</v>
      </c>
      <c r="N1" s="236"/>
      <c r="O1" s="237"/>
      <c r="P1" s="235" t="s">
        <v>20</v>
      </c>
      <c r="Q1" s="236"/>
      <c r="R1" s="237"/>
      <c r="S1" s="227" t="s">
        <v>9</v>
      </c>
      <c r="T1" s="227" t="s">
        <v>10</v>
      </c>
    </row>
    <row r="2" spans="1:146" ht="36.75" customHeight="1" x14ac:dyDescent="0.2">
      <c r="A2" s="231"/>
      <c r="B2" s="228"/>
      <c r="C2" s="228"/>
      <c r="D2" s="228" t="s">
        <v>17</v>
      </c>
      <c r="E2" s="248" t="s">
        <v>11</v>
      </c>
      <c r="F2" s="240" t="s">
        <v>12</v>
      </c>
      <c r="G2" s="240" t="s">
        <v>18</v>
      </c>
      <c r="H2" s="238" t="s">
        <v>93</v>
      </c>
      <c r="I2" s="239"/>
      <c r="J2" s="246" t="s">
        <v>11</v>
      </c>
      <c r="K2" s="244" t="s">
        <v>12</v>
      </c>
      <c r="L2" s="242" t="s">
        <v>13</v>
      </c>
      <c r="M2" s="246" t="s">
        <v>11</v>
      </c>
      <c r="N2" s="244" t="s">
        <v>12</v>
      </c>
      <c r="O2" s="242" t="s">
        <v>13</v>
      </c>
      <c r="P2" s="246" t="s">
        <v>1</v>
      </c>
      <c r="Q2" s="244" t="s">
        <v>2</v>
      </c>
      <c r="R2" s="242" t="s">
        <v>3</v>
      </c>
      <c r="S2" s="228"/>
      <c r="T2" s="228"/>
    </row>
    <row r="3" spans="1:146" ht="50.1" customHeight="1" thickBot="1" x14ac:dyDescent="0.25">
      <c r="A3" s="232"/>
      <c r="B3" s="229"/>
      <c r="C3" s="234"/>
      <c r="D3" s="229"/>
      <c r="E3" s="249"/>
      <c r="F3" s="241"/>
      <c r="G3" s="241"/>
      <c r="H3" s="18" t="s">
        <v>8</v>
      </c>
      <c r="I3" s="19" t="s">
        <v>7</v>
      </c>
      <c r="J3" s="247"/>
      <c r="K3" s="245"/>
      <c r="L3" s="243"/>
      <c r="M3" s="247"/>
      <c r="N3" s="245"/>
      <c r="O3" s="243"/>
      <c r="P3" s="247"/>
      <c r="Q3" s="245"/>
      <c r="R3" s="243"/>
      <c r="S3" s="229"/>
      <c r="T3" s="229"/>
    </row>
    <row r="4" spans="1:146" s="10" customFormat="1" ht="54.95" customHeight="1" thickBot="1" x14ac:dyDescent="0.25">
      <c r="A4" s="217" t="s">
        <v>23</v>
      </c>
      <c r="B4" s="20" t="s">
        <v>55</v>
      </c>
      <c r="C4" s="21"/>
      <c r="D4" s="22">
        <v>235000</v>
      </c>
      <c r="E4" s="22">
        <f>SUM(E5:E10)</f>
        <v>58337783</v>
      </c>
      <c r="F4" s="23">
        <f>SUM(F5:F10)</f>
        <v>0</v>
      </c>
      <c r="G4" s="158">
        <f>SUM(E4:F4)</f>
        <v>58337783</v>
      </c>
      <c r="H4" s="158">
        <f>G4*I4-0.1</f>
        <v>49587115.449999996</v>
      </c>
      <c r="I4" s="24">
        <v>0.85</v>
      </c>
      <c r="J4" s="22">
        <f>SUM(J5:J10)</f>
        <v>0</v>
      </c>
      <c r="K4" s="23">
        <f>SUM(K5:K10)</f>
        <v>4236600</v>
      </c>
      <c r="L4" s="170">
        <f>SUM(J4:K4)</f>
        <v>4236600</v>
      </c>
      <c r="M4" s="22">
        <f>E4+J4</f>
        <v>58337783</v>
      </c>
      <c r="N4" s="23">
        <f>F4+K4</f>
        <v>4236600</v>
      </c>
      <c r="O4" s="170">
        <f>G4+L4</f>
        <v>62574383</v>
      </c>
      <c r="P4" s="206">
        <f>SUM(P5:P10)</f>
        <v>53777752</v>
      </c>
      <c r="Q4" s="23">
        <f>SUM(Q5:Q10)</f>
        <v>4195800</v>
      </c>
      <c r="R4" s="207">
        <f>SUM(R5:R10)</f>
        <v>57973552</v>
      </c>
      <c r="S4" s="25"/>
      <c r="T4" s="25"/>
    </row>
    <row r="5" spans="1:146" s="13" customFormat="1" ht="39.950000000000003" customHeight="1" thickTop="1" x14ac:dyDescent="0.2">
      <c r="A5" s="218" t="s">
        <v>5</v>
      </c>
      <c r="B5" s="26" t="s">
        <v>30</v>
      </c>
      <c r="C5" s="27" t="s">
        <v>31</v>
      </c>
      <c r="D5" s="28"/>
      <c r="E5" s="31">
        <v>19507362</v>
      </c>
      <c r="F5" s="29">
        <v>0</v>
      </c>
      <c r="G5" s="159">
        <f t="shared" ref="G5:G18" si="0">SUM(E5:F5)</f>
        <v>19507362</v>
      </c>
      <c r="H5" s="159">
        <f>G5*I5</f>
        <v>16581257.699999999</v>
      </c>
      <c r="I5" s="30">
        <v>0.85</v>
      </c>
      <c r="J5" s="31">
        <v>0</v>
      </c>
      <c r="K5" s="29">
        <v>0</v>
      </c>
      <c r="L5" s="32">
        <f t="shared" ref="L5:L11" si="1">SUM(J5:K5)</f>
        <v>0</v>
      </c>
      <c r="M5" s="31">
        <f t="shared" ref="M5:M33" si="2">E5+J5</f>
        <v>19507362</v>
      </c>
      <c r="N5" s="29">
        <f t="shared" ref="N5:N34" si="3">F5+K5</f>
        <v>0</v>
      </c>
      <c r="O5" s="32">
        <f t="shared" ref="O5:O34" si="4">G5+L5</f>
        <v>19507362</v>
      </c>
      <c r="P5" s="208">
        <f>M5</f>
        <v>19507362</v>
      </c>
      <c r="Q5" s="29">
        <f>N5</f>
        <v>0</v>
      </c>
      <c r="R5" s="209">
        <f>O5</f>
        <v>19507362</v>
      </c>
      <c r="S5" s="33" t="s">
        <v>28</v>
      </c>
      <c r="T5" s="33" t="s">
        <v>60</v>
      </c>
      <c r="V5" s="13" t="s">
        <v>102</v>
      </c>
    </row>
    <row r="6" spans="1:146" s="13" customFormat="1" ht="39.950000000000003" customHeight="1" x14ac:dyDescent="0.2">
      <c r="A6" s="219" t="s">
        <v>72</v>
      </c>
      <c r="B6" s="34" t="s">
        <v>80</v>
      </c>
      <c r="C6" s="35" t="s">
        <v>65</v>
      </c>
      <c r="D6" s="157"/>
      <c r="E6" s="39">
        <v>13373724</v>
      </c>
      <c r="F6" s="36">
        <v>0</v>
      </c>
      <c r="G6" s="152">
        <f t="shared" si="0"/>
        <v>13373724</v>
      </c>
      <c r="H6" s="152">
        <f>G6*I6-0.4</f>
        <v>11367665</v>
      </c>
      <c r="I6" s="38">
        <v>0.85</v>
      </c>
      <c r="J6" s="39">
        <v>0</v>
      </c>
      <c r="K6" s="36">
        <v>0</v>
      </c>
      <c r="L6" s="40">
        <f t="shared" si="1"/>
        <v>0</v>
      </c>
      <c r="M6" s="31">
        <f t="shared" si="2"/>
        <v>13373724</v>
      </c>
      <c r="N6" s="29">
        <f t="shared" si="3"/>
        <v>0</v>
      </c>
      <c r="O6" s="32">
        <f t="shared" si="4"/>
        <v>13373724</v>
      </c>
      <c r="P6" s="208">
        <f t="shared" ref="P6:P8" si="5">M6</f>
        <v>13373724</v>
      </c>
      <c r="Q6" s="29">
        <f t="shared" ref="Q6:Q8" si="6">N6</f>
        <v>0</v>
      </c>
      <c r="R6" s="209">
        <f t="shared" ref="R6:R8" si="7">O6</f>
        <v>13373724</v>
      </c>
      <c r="S6" s="33" t="s">
        <v>28</v>
      </c>
      <c r="T6" s="33" t="s">
        <v>56</v>
      </c>
      <c r="V6" s="17">
        <f>P6+P7+P8</f>
        <v>34270390</v>
      </c>
      <c r="W6" s="17">
        <f>Q6+Q7+Q8</f>
        <v>4195800</v>
      </c>
      <c r="X6" s="17">
        <f>R6+R7+R8</f>
        <v>38466190</v>
      </c>
    </row>
    <row r="7" spans="1:146" s="13" customFormat="1" ht="39.950000000000003" customHeight="1" x14ac:dyDescent="0.2">
      <c r="A7" s="219" t="s">
        <v>73</v>
      </c>
      <c r="B7" s="34" t="s">
        <v>80</v>
      </c>
      <c r="C7" s="35" t="s">
        <v>65</v>
      </c>
      <c r="D7" s="157"/>
      <c r="E7" s="39">
        <v>15540000</v>
      </c>
      <c r="F7" s="36">
        <v>0</v>
      </c>
      <c r="G7" s="152">
        <f t="shared" si="0"/>
        <v>15540000</v>
      </c>
      <c r="H7" s="152">
        <f t="shared" ref="H7:H11" si="8">G7*I7</f>
        <v>13209000</v>
      </c>
      <c r="I7" s="38">
        <v>0.85</v>
      </c>
      <c r="J7" s="39">
        <v>0</v>
      </c>
      <c r="K7" s="36">
        <f>E7*0.27</f>
        <v>4195800</v>
      </c>
      <c r="L7" s="40">
        <f t="shared" si="1"/>
        <v>4195800</v>
      </c>
      <c r="M7" s="39">
        <f t="shared" si="2"/>
        <v>15540000</v>
      </c>
      <c r="N7" s="36">
        <f t="shared" si="3"/>
        <v>4195800</v>
      </c>
      <c r="O7" s="40">
        <f t="shared" si="4"/>
        <v>19735800</v>
      </c>
      <c r="P7" s="153">
        <f t="shared" si="5"/>
        <v>15540000</v>
      </c>
      <c r="Q7" s="36">
        <f t="shared" si="6"/>
        <v>4195800</v>
      </c>
      <c r="R7" s="154">
        <f t="shared" si="7"/>
        <v>19735800</v>
      </c>
      <c r="S7" s="42" t="s">
        <v>29</v>
      </c>
      <c r="T7" s="42" t="s">
        <v>60</v>
      </c>
      <c r="V7" s="13" t="s">
        <v>103</v>
      </c>
    </row>
    <row r="8" spans="1:146" s="13" customFormat="1" ht="39.950000000000003" customHeight="1" x14ac:dyDescent="0.2">
      <c r="A8" s="219" t="s">
        <v>82</v>
      </c>
      <c r="B8" s="43" t="s">
        <v>81</v>
      </c>
      <c r="C8" s="35" t="s">
        <v>65</v>
      </c>
      <c r="D8" s="157"/>
      <c r="E8" s="39">
        <v>5356666</v>
      </c>
      <c r="F8" s="36">
        <v>0</v>
      </c>
      <c r="G8" s="152">
        <f t="shared" si="0"/>
        <v>5356666</v>
      </c>
      <c r="H8" s="152">
        <f>G8*I8-0.1</f>
        <v>4553166</v>
      </c>
      <c r="I8" s="38">
        <v>0.85</v>
      </c>
      <c r="J8" s="39">
        <v>0</v>
      </c>
      <c r="K8" s="36">
        <v>0</v>
      </c>
      <c r="L8" s="40">
        <f t="shared" si="1"/>
        <v>0</v>
      </c>
      <c r="M8" s="39">
        <f t="shared" si="2"/>
        <v>5356666</v>
      </c>
      <c r="N8" s="36">
        <f t="shared" si="3"/>
        <v>0</v>
      </c>
      <c r="O8" s="40">
        <f t="shared" si="4"/>
        <v>5356666</v>
      </c>
      <c r="P8" s="153">
        <f t="shared" si="5"/>
        <v>5356666</v>
      </c>
      <c r="Q8" s="36">
        <f t="shared" si="6"/>
        <v>0</v>
      </c>
      <c r="R8" s="154">
        <f t="shared" si="7"/>
        <v>5356666</v>
      </c>
      <c r="S8" s="42" t="s">
        <v>28</v>
      </c>
      <c r="T8" s="42" t="s">
        <v>56</v>
      </c>
      <c r="V8" s="17">
        <f>P5</f>
        <v>19507362</v>
      </c>
      <c r="W8" s="17">
        <f>Q5</f>
        <v>0</v>
      </c>
      <c r="X8" s="17">
        <f>R5</f>
        <v>19507362</v>
      </c>
    </row>
    <row r="9" spans="1:146" s="13" customFormat="1" ht="39.950000000000003" customHeight="1" x14ac:dyDescent="0.2">
      <c r="A9" s="219" t="s">
        <v>86</v>
      </c>
      <c r="B9" s="43" t="s">
        <v>30</v>
      </c>
      <c r="C9" s="35" t="s">
        <v>94</v>
      </c>
      <c r="D9" s="157"/>
      <c r="E9" s="39">
        <v>160619</v>
      </c>
      <c r="F9" s="36">
        <v>0</v>
      </c>
      <c r="G9" s="152">
        <f t="shared" si="0"/>
        <v>160619</v>
      </c>
      <c r="H9" s="152">
        <f>G9*I9-0.15</f>
        <v>136526</v>
      </c>
      <c r="I9" s="38">
        <v>0.85</v>
      </c>
      <c r="J9" s="39">
        <v>0</v>
      </c>
      <c r="K9" s="36">
        <v>40800</v>
      </c>
      <c r="L9" s="40">
        <f t="shared" si="1"/>
        <v>40800</v>
      </c>
      <c r="M9" s="39">
        <f t="shared" si="2"/>
        <v>160619</v>
      </c>
      <c r="N9" s="36">
        <f>F9+K9</f>
        <v>40800</v>
      </c>
      <c r="O9" s="40">
        <f t="shared" si="4"/>
        <v>201419</v>
      </c>
      <c r="P9" s="153">
        <v>0</v>
      </c>
      <c r="Q9" s="36">
        <v>0</v>
      </c>
      <c r="R9" s="154">
        <v>0</v>
      </c>
      <c r="S9" s="42" t="s">
        <v>89</v>
      </c>
      <c r="T9" s="42" t="s">
        <v>90</v>
      </c>
      <c r="V9" s="17">
        <f>V6+V8</f>
        <v>53777752</v>
      </c>
      <c r="W9" s="17">
        <f t="shared" ref="W9:X9" si="9">W6+W8</f>
        <v>4195800</v>
      </c>
      <c r="X9" s="17">
        <f t="shared" si="9"/>
        <v>57973552</v>
      </c>
    </row>
    <row r="10" spans="1:146" s="13" customFormat="1" ht="39.950000000000003" customHeight="1" thickBot="1" x14ac:dyDescent="0.25">
      <c r="A10" s="220" t="s">
        <v>87</v>
      </c>
      <c r="B10" s="216" t="s">
        <v>88</v>
      </c>
      <c r="C10" s="60" t="s">
        <v>94</v>
      </c>
      <c r="D10" s="62"/>
      <c r="E10" s="65">
        <v>4399412</v>
      </c>
      <c r="F10" s="63">
        <v>0</v>
      </c>
      <c r="G10" s="164">
        <f t="shared" si="0"/>
        <v>4399412</v>
      </c>
      <c r="H10" s="164">
        <f>G10*I10-0.2</f>
        <v>3739499.9999999995</v>
      </c>
      <c r="I10" s="64">
        <v>0.85</v>
      </c>
      <c r="J10" s="65">
        <v>0</v>
      </c>
      <c r="K10" s="63">
        <v>0</v>
      </c>
      <c r="L10" s="171">
        <f t="shared" si="1"/>
        <v>0</v>
      </c>
      <c r="M10" s="65">
        <f t="shared" si="2"/>
        <v>4399412</v>
      </c>
      <c r="N10" s="63">
        <f t="shared" si="3"/>
        <v>0</v>
      </c>
      <c r="O10" s="171">
        <f t="shared" si="4"/>
        <v>4399412</v>
      </c>
      <c r="P10" s="202">
        <v>0</v>
      </c>
      <c r="Q10" s="63">
        <v>0</v>
      </c>
      <c r="R10" s="203">
        <v>0</v>
      </c>
      <c r="S10" s="66" t="s">
        <v>89</v>
      </c>
      <c r="T10" s="66" t="s">
        <v>90</v>
      </c>
      <c r="V10" s="17">
        <f>V9-P4</f>
        <v>0</v>
      </c>
      <c r="W10" s="17">
        <f t="shared" ref="W10:X10" si="10">W9-Q4</f>
        <v>0</v>
      </c>
      <c r="X10" s="17">
        <f t="shared" si="10"/>
        <v>0</v>
      </c>
    </row>
    <row r="11" spans="1:146" s="10" customFormat="1" ht="54.95" customHeight="1" thickTop="1" thickBot="1" x14ac:dyDescent="0.25">
      <c r="A11" s="221" t="s">
        <v>24</v>
      </c>
      <c r="B11" s="44" t="s">
        <v>61</v>
      </c>
      <c r="C11" s="45"/>
      <c r="D11" s="160">
        <v>115000</v>
      </c>
      <c r="E11" s="160">
        <f>SUM(E12:E15)</f>
        <v>35742000</v>
      </c>
      <c r="F11" s="46">
        <f>SUM(F12:F15)</f>
        <v>0</v>
      </c>
      <c r="G11" s="161">
        <f t="shared" si="0"/>
        <v>35742000</v>
      </c>
      <c r="H11" s="161">
        <f t="shared" si="8"/>
        <v>30380700</v>
      </c>
      <c r="I11" s="47">
        <v>0.85</v>
      </c>
      <c r="J11" s="46">
        <f>SUM(J12:J15)</f>
        <v>0</v>
      </c>
      <c r="K11" s="46">
        <f>SUM(K12:K15)</f>
        <v>0</v>
      </c>
      <c r="L11" s="172">
        <f t="shared" si="1"/>
        <v>0</v>
      </c>
      <c r="M11" s="160">
        <f t="shared" si="2"/>
        <v>35742000</v>
      </c>
      <c r="N11" s="46">
        <f t="shared" si="3"/>
        <v>0</v>
      </c>
      <c r="O11" s="172">
        <f>G11+L11</f>
        <v>35742000</v>
      </c>
      <c r="P11" s="210">
        <f>SUM(P12:P15)</f>
        <v>35742000</v>
      </c>
      <c r="Q11" s="46">
        <f>SUM(Q12:Q15)</f>
        <v>0</v>
      </c>
      <c r="R11" s="211">
        <f>SUM(R12:R15)</f>
        <v>35742000</v>
      </c>
      <c r="S11" s="48"/>
      <c r="T11" s="48"/>
      <c r="V11" s="13" t="s">
        <v>102</v>
      </c>
      <c r="W11" s="13"/>
      <c r="X11" s="13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</row>
    <row r="12" spans="1:146" s="4" customFormat="1" ht="64.5" customHeight="1" thickTop="1" x14ac:dyDescent="0.2">
      <c r="A12" s="222" t="s">
        <v>33</v>
      </c>
      <c r="B12" s="49" t="s">
        <v>32</v>
      </c>
      <c r="C12" s="50" t="s">
        <v>31</v>
      </c>
      <c r="D12" s="51"/>
      <c r="E12" s="55">
        <v>13776210</v>
      </c>
      <c r="F12" s="52">
        <v>0</v>
      </c>
      <c r="G12" s="52">
        <f t="shared" si="0"/>
        <v>13776210</v>
      </c>
      <c r="H12" s="53">
        <f t="shared" ref="H12:H31" si="11">G12*I12</f>
        <v>11709778.5</v>
      </c>
      <c r="I12" s="54">
        <v>0.85</v>
      </c>
      <c r="J12" s="55">
        <v>0</v>
      </c>
      <c r="K12" s="52">
        <v>0</v>
      </c>
      <c r="L12" s="56">
        <f t="shared" ref="L12:L16" si="12">SUM(J12:K12)</f>
        <v>0</v>
      </c>
      <c r="M12" s="55">
        <f t="shared" si="2"/>
        <v>13776210</v>
      </c>
      <c r="N12" s="52">
        <f>F12+K12</f>
        <v>0</v>
      </c>
      <c r="O12" s="56">
        <f>G12+L12</f>
        <v>13776210</v>
      </c>
      <c r="P12" s="55">
        <f>M12</f>
        <v>13776210</v>
      </c>
      <c r="Q12" s="52">
        <f>N12</f>
        <v>0</v>
      </c>
      <c r="R12" s="56">
        <f>O12</f>
        <v>13776210</v>
      </c>
      <c r="S12" s="57" t="s">
        <v>29</v>
      </c>
      <c r="T12" s="57" t="s">
        <v>57</v>
      </c>
      <c r="U12" s="10"/>
      <c r="V12" s="17">
        <f>P14+P15</f>
        <v>21756000</v>
      </c>
      <c r="W12" s="17">
        <f>Q14+Q15</f>
        <v>0</v>
      </c>
      <c r="X12" s="17">
        <f>R14+R15</f>
        <v>21756000</v>
      </c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</row>
    <row r="13" spans="1:146" s="11" customFormat="1" ht="79.5" customHeight="1" x14ac:dyDescent="0.2">
      <c r="A13" s="219" t="s">
        <v>34</v>
      </c>
      <c r="B13" s="34" t="s">
        <v>37</v>
      </c>
      <c r="C13" s="35" t="s">
        <v>31</v>
      </c>
      <c r="D13" s="58"/>
      <c r="E13" s="39">
        <v>209790</v>
      </c>
      <c r="F13" s="36">
        <v>0</v>
      </c>
      <c r="G13" s="36">
        <f t="shared" si="0"/>
        <v>209790</v>
      </c>
      <c r="H13" s="41">
        <f t="shared" ref="H13" si="13">G13*I13</f>
        <v>178321.5</v>
      </c>
      <c r="I13" s="38">
        <v>0.85</v>
      </c>
      <c r="J13" s="39">
        <v>0</v>
      </c>
      <c r="K13" s="36">
        <v>0</v>
      </c>
      <c r="L13" s="40">
        <f t="shared" ref="L13" si="14">SUM(J13:K13)</f>
        <v>0</v>
      </c>
      <c r="M13" s="39">
        <f t="shared" si="2"/>
        <v>209790</v>
      </c>
      <c r="N13" s="36">
        <f>F13+K13</f>
        <v>0</v>
      </c>
      <c r="O13" s="40">
        <f t="shared" si="4"/>
        <v>209790</v>
      </c>
      <c r="P13" s="39">
        <f t="shared" ref="P13:P15" si="15">M13</f>
        <v>209790</v>
      </c>
      <c r="Q13" s="36">
        <f t="shared" ref="Q13:Q15" si="16">N13</f>
        <v>0</v>
      </c>
      <c r="R13" s="40">
        <f t="shared" ref="R13:R15" si="17">O13</f>
        <v>209790</v>
      </c>
      <c r="S13" s="42" t="s">
        <v>28</v>
      </c>
      <c r="T13" s="42" t="s">
        <v>56</v>
      </c>
      <c r="U13" s="13"/>
      <c r="V13" s="13" t="s">
        <v>103</v>
      </c>
      <c r="W13" s="13"/>
      <c r="X13" s="13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</row>
    <row r="14" spans="1:146" s="14" customFormat="1" ht="39.950000000000003" customHeight="1" x14ac:dyDescent="0.2">
      <c r="A14" s="218" t="s">
        <v>70</v>
      </c>
      <c r="B14" s="26" t="s">
        <v>68</v>
      </c>
      <c r="C14" s="27" t="s">
        <v>65</v>
      </c>
      <c r="D14" s="28"/>
      <c r="E14" s="31">
        <v>10878000</v>
      </c>
      <c r="F14" s="29">
        <v>0</v>
      </c>
      <c r="G14" s="29">
        <f t="shared" si="0"/>
        <v>10878000</v>
      </c>
      <c r="H14" s="29">
        <f t="shared" si="11"/>
        <v>9246300</v>
      </c>
      <c r="I14" s="30">
        <v>0.85</v>
      </c>
      <c r="J14" s="31">
        <v>0</v>
      </c>
      <c r="K14" s="29">
        <v>0</v>
      </c>
      <c r="L14" s="32">
        <f t="shared" si="12"/>
        <v>0</v>
      </c>
      <c r="M14" s="31">
        <f t="shared" si="2"/>
        <v>10878000</v>
      </c>
      <c r="N14" s="29">
        <f t="shared" si="3"/>
        <v>0</v>
      </c>
      <c r="O14" s="32">
        <f>G14+L14</f>
        <v>10878000</v>
      </c>
      <c r="P14" s="31">
        <f t="shared" si="15"/>
        <v>10878000</v>
      </c>
      <c r="Q14" s="29">
        <f t="shared" si="16"/>
        <v>0</v>
      </c>
      <c r="R14" s="32">
        <f t="shared" si="17"/>
        <v>10878000</v>
      </c>
      <c r="S14" s="33" t="s">
        <v>28</v>
      </c>
      <c r="T14" s="33" t="s">
        <v>60</v>
      </c>
      <c r="U14" s="13"/>
      <c r="V14" s="17">
        <f>P12+P13</f>
        <v>13986000</v>
      </c>
      <c r="W14" s="17">
        <f>Q12+Q13</f>
        <v>0</v>
      </c>
      <c r="X14" s="17">
        <f>R12+R13</f>
        <v>13986000</v>
      </c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</row>
    <row r="15" spans="1:146" s="15" customFormat="1" ht="80.25" customHeight="1" thickBot="1" x14ac:dyDescent="0.25">
      <c r="A15" s="220" t="s">
        <v>71</v>
      </c>
      <c r="B15" s="59" t="s">
        <v>67</v>
      </c>
      <c r="C15" s="60" t="s">
        <v>65</v>
      </c>
      <c r="D15" s="61"/>
      <c r="E15" s="65">
        <v>10878000</v>
      </c>
      <c r="F15" s="63">
        <v>0</v>
      </c>
      <c r="G15" s="63">
        <f t="shared" si="0"/>
        <v>10878000</v>
      </c>
      <c r="H15" s="63">
        <f t="shared" si="11"/>
        <v>9246300</v>
      </c>
      <c r="I15" s="64">
        <v>0.85</v>
      </c>
      <c r="J15" s="65">
        <v>0</v>
      </c>
      <c r="K15" s="63">
        <v>0</v>
      </c>
      <c r="L15" s="171">
        <f t="shared" si="12"/>
        <v>0</v>
      </c>
      <c r="M15" s="65">
        <f>E15+J15</f>
        <v>10878000</v>
      </c>
      <c r="N15" s="63">
        <f>F15+K15</f>
        <v>0</v>
      </c>
      <c r="O15" s="171">
        <f t="shared" si="4"/>
        <v>10878000</v>
      </c>
      <c r="P15" s="65">
        <f t="shared" si="15"/>
        <v>10878000</v>
      </c>
      <c r="Q15" s="63">
        <f t="shared" si="16"/>
        <v>0</v>
      </c>
      <c r="R15" s="171">
        <f t="shared" si="17"/>
        <v>10878000</v>
      </c>
      <c r="S15" s="66" t="s">
        <v>28</v>
      </c>
      <c r="T15" s="66" t="s">
        <v>56</v>
      </c>
      <c r="U15" s="10"/>
      <c r="V15" s="16">
        <f>V12+V14</f>
        <v>35742000</v>
      </c>
      <c r="W15" s="16">
        <f t="shared" ref="W15:X15" si="18">W12+W14</f>
        <v>0</v>
      </c>
      <c r="X15" s="16">
        <f t="shared" si="18"/>
        <v>35742000</v>
      </c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</row>
    <row r="16" spans="1:146" s="10" customFormat="1" ht="54.95" customHeight="1" thickTop="1" thickBot="1" x14ac:dyDescent="0.25">
      <c r="A16" s="221" t="s">
        <v>25</v>
      </c>
      <c r="B16" s="214" t="s">
        <v>62</v>
      </c>
      <c r="C16" s="48"/>
      <c r="D16" s="160">
        <v>198000</v>
      </c>
      <c r="E16" s="160">
        <f>SUM(E17:E20)</f>
        <v>61538400</v>
      </c>
      <c r="F16" s="215">
        <f>SUM(F17:F20)</f>
        <v>0</v>
      </c>
      <c r="G16" s="161">
        <f t="shared" si="0"/>
        <v>61538400</v>
      </c>
      <c r="H16" s="161">
        <f t="shared" si="11"/>
        <v>52307640</v>
      </c>
      <c r="I16" s="47">
        <v>0.85</v>
      </c>
      <c r="J16" s="160">
        <f>SUM(J17:J20)</f>
        <v>0</v>
      </c>
      <c r="K16" s="46">
        <f>SUM(K17:K20)</f>
        <v>11160828</v>
      </c>
      <c r="L16" s="172">
        <f t="shared" si="12"/>
        <v>11160828</v>
      </c>
      <c r="M16" s="160">
        <f t="shared" si="2"/>
        <v>61538400</v>
      </c>
      <c r="N16" s="46">
        <f t="shared" si="3"/>
        <v>11160828</v>
      </c>
      <c r="O16" s="172">
        <f t="shared" si="4"/>
        <v>72699228</v>
      </c>
      <c r="P16" s="210">
        <f>SUM(P17:P20)</f>
        <v>61538400</v>
      </c>
      <c r="Q16" s="46">
        <f>SUM(Q17:Q20)</f>
        <v>11160828</v>
      </c>
      <c r="R16" s="211">
        <f>SUM(R17:R20)</f>
        <v>72699228</v>
      </c>
      <c r="S16" s="48"/>
      <c r="T16" s="48"/>
      <c r="V16" s="16">
        <f>V15-P11</f>
        <v>0</v>
      </c>
      <c r="W16" s="16">
        <f t="shared" ref="W16:X16" si="19">W15-Q11</f>
        <v>0</v>
      </c>
      <c r="X16" s="16">
        <f t="shared" si="19"/>
        <v>0</v>
      </c>
    </row>
    <row r="17" spans="1:146" s="5" customFormat="1" ht="39.950000000000003" customHeight="1" thickTop="1" thickBot="1" x14ac:dyDescent="0.25">
      <c r="A17" s="222" t="s">
        <v>35</v>
      </c>
      <c r="B17" s="74" t="s">
        <v>44</v>
      </c>
      <c r="C17" s="50" t="s">
        <v>31</v>
      </c>
      <c r="D17" s="51"/>
      <c r="E17" s="55">
        <v>19898970</v>
      </c>
      <c r="F17" s="52">
        <v>0</v>
      </c>
      <c r="G17" s="163">
        <f t="shared" si="0"/>
        <v>19898970</v>
      </c>
      <c r="H17" s="75">
        <f>G17*I17</f>
        <v>16914124.5</v>
      </c>
      <c r="I17" s="54">
        <v>0.85</v>
      </c>
      <c r="J17" s="55">
        <v>0</v>
      </c>
      <c r="K17" s="52">
        <v>0</v>
      </c>
      <c r="L17" s="56">
        <f t="shared" ref="L17:L20" si="20">SUM(J17:K17)</f>
        <v>0</v>
      </c>
      <c r="M17" s="55">
        <f t="shared" si="2"/>
        <v>19898970</v>
      </c>
      <c r="N17" s="52">
        <f t="shared" si="3"/>
        <v>0</v>
      </c>
      <c r="O17" s="56">
        <f t="shared" si="4"/>
        <v>19898970</v>
      </c>
      <c r="P17" s="200">
        <f>M17</f>
        <v>19898970</v>
      </c>
      <c r="Q17" s="52">
        <f>N17</f>
        <v>0</v>
      </c>
      <c r="R17" s="201">
        <f>O17</f>
        <v>19898970</v>
      </c>
      <c r="S17" s="57" t="s">
        <v>29</v>
      </c>
      <c r="T17" s="57" t="s">
        <v>57</v>
      </c>
      <c r="U17" s="1"/>
      <c r="V17" s="13" t="s">
        <v>102</v>
      </c>
      <c r="W17" s="13"/>
      <c r="X17" s="13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</row>
    <row r="18" spans="1:146" s="5" customFormat="1" ht="72.75" thickTop="1" x14ac:dyDescent="0.2">
      <c r="A18" s="219" t="s">
        <v>36</v>
      </c>
      <c r="B18" s="76" t="s">
        <v>45</v>
      </c>
      <c r="C18" s="35" t="s">
        <v>31</v>
      </c>
      <c r="D18" s="58"/>
      <c r="E18" s="39">
        <v>303030</v>
      </c>
      <c r="F18" s="36">
        <v>0</v>
      </c>
      <c r="G18" s="152">
        <f t="shared" si="0"/>
        <v>303030</v>
      </c>
      <c r="H18" s="37">
        <f>G18*I18</f>
        <v>257575.5</v>
      </c>
      <c r="I18" s="38">
        <v>0.85</v>
      </c>
      <c r="J18" s="39">
        <v>0</v>
      </c>
      <c r="K18" s="36">
        <v>0</v>
      </c>
      <c r="L18" s="40">
        <f t="shared" si="20"/>
        <v>0</v>
      </c>
      <c r="M18" s="39">
        <f t="shared" si="2"/>
        <v>303030</v>
      </c>
      <c r="N18" s="36">
        <f t="shared" si="3"/>
        <v>0</v>
      </c>
      <c r="O18" s="40">
        <f t="shared" si="4"/>
        <v>303030</v>
      </c>
      <c r="P18" s="153">
        <f t="shared" ref="P18:P20" si="21">M18</f>
        <v>303030</v>
      </c>
      <c r="Q18" s="36">
        <f t="shared" ref="Q18:Q20" si="22">N18</f>
        <v>0</v>
      </c>
      <c r="R18" s="154">
        <f t="shared" ref="R18:R20" si="23">O18</f>
        <v>303030</v>
      </c>
      <c r="S18" s="42" t="s">
        <v>28</v>
      </c>
      <c r="T18" s="42" t="s">
        <v>56</v>
      </c>
      <c r="U18" s="1"/>
      <c r="V18" s="17">
        <f>P19+P20</f>
        <v>41336400</v>
      </c>
      <c r="W18" s="17">
        <f t="shared" ref="W18:X18" si="24">Q19+Q20</f>
        <v>11160828</v>
      </c>
      <c r="X18" s="17">
        <f t="shared" si="24"/>
        <v>52497228</v>
      </c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</row>
    <row r="19" spans="1:146" s="7" customFormat="1" ht="39.950000000000003" customHeight="1" thickBot="1" x14ac:dyDescent="0.3">
      <c r="A19" s="219" t="s">
        <v>6</v>
      </c>
      <c r="B19" s="76" t="s">
        <v>69</v>
      </c>
      <c r="C19" s="35" t="s">
        <v>65</v>
      </c>
      <c r="D19" s="58"/>
      <c r="E19" s="39">
        <v>10256400</v>
      </c>
      <c r="F19" s="77">
        <v>0</v>
      </c>
      <c r="G19" s="152">
        <f t="shared" ref="G19:G20" si="25">SUM(E19:F19)</f>
        <v>10256400</v>
      </c>
      <c r="H19" s="152">
        <f>G19*I19</f>
        <v>8717940</v>
      </c>
      <c r="I19" s="38">
        <v>0.85</v>
      </c>
      <c r="J19" s="39">
        <v>0</v>
      </c>
      <c r="K19" s="36">
        <f>E19*0.27</f>
        <v>2769228</v>
      </c>
      <c r="L19" s="40">
        <f t="shared" si="20"/>
        <v>2769228</v>
      </c>
      <c r="M19" s="39">
        <f t="shared" si="2"/>
        <v>10256400</v>
      </c>
      <c r="N19" s="36">
        <f t="shared" si="3"/>
        <v>2769228</v>
      </c>
      <c r="O19" s="40">
        <f t="shared" si="4"/>
        <v>13025628</v>
      </c>
      <c r="P19" s="153">
        <f t="shared" si="21"/>
        <v>10256400</v>
      </c>
      <c r="Q19" s="36">
        <f t="shared" si="22"/>
        <v>2769228</v>
      </c>
      <c r="R19" s="154">
        <f t="shared" si="23"/>
        <v>13025628</v>
      </c>
      <c r="S19" s="42" t="s">
        <v>29</v>
      </c>
      <c r="T19" s="42" t="s">
        <v>60</v>
      </c>
      <c r="U19" s="13"/>
      <c r="V19" s="13" t="s">
        <v>103</v>
      </c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</row>
    <row r="20" spans="1:146" s="12" customFormat="1" ht="39.950000000000003" customHeight="1" thickTop="1" thickBot="1" x14ac:dyDescent="0.3">
      <c r="A20" s="220" t="s">
        <v>85</v>
      </c>
      <c r="B20" s="78" t="s">
        <v>66</v>
      </c>
      <c r="C20" s="60" t="s">
        <v>65</v>
      </c>
      <c r="D20" s="62"/>
      <c r="E20" s="65">
        <v>31080000</v>
      </c>
      <c r="F20" s="79">
        <v>0</v>
      </c>
      <c r="G20" s="164">
        <f t="shared" si="25"/>
        <v>31080000</v>
      </c>
      <c r="H20" s="164">
        <f>G20*I20</f>
        <v>26418000</v>
      </c>
      <c r="I20" s="64">
        <v>0.85</v>
      </c>
      <c r="J20" s="65">
        <v>0</v>
      </c>
      <c r="K20" s="63">
        <f>E20*0.27</f>
        <v>8391600</v>
      </c>
      <c r="L20" s="171">
        <f t="shared" si="20"/>
        <v>8391600</v>
      </c>
      <c r="M20" s="65">
        <f t="shared" si="2"/>
        <v>31080000</v>
      </c>
      <c r="N20" s="63">
        <f t="shared" si="3"/>
        <v>8391600</v>
      </c>
      <c r="O20" s="171">
        <f t="shared" si="4"/>
        <v>39471600</v>
      </c>
      <c r="P20" s="202">
        <f t="shared" si="21"/>
        <v>31080000</v>
      </c>
      <c r="Q20" s="63">
        <f t="shared" si="22"/>
        <v>8391600</v>
      </c>
      <c r="R20" s="203">
        <f t="shared" si="23"/>
        <v>39471600</v>
      </c>
      <c r="S20" s="66" t="s">
        <v>29</v>
      </c>
      <c r="T20" s="66" t="s">
        <v>60</v>
      </c>
      <c r="U20" s="13"/>
      <c r="V20" s="17">
        <f>P17+P18</f>
        <v>20202000</v>
      </c>
      <c r="W20" s="17">
        <f t="shared" ref="W20:X20" si="26">Q17+Q18</f>
        <v>0</v>
      </c>
      <c r="X20" s="17">
        <f t="shared" si="26"/>
        <v>20202000</v>
      </c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</row>
    <row r="21" spans="1:146" s="9" customFormat="1" ht="54.95" customHeight="1" thickTop="1" thickBot="1" x14ac:dyDescent="0.25">
      <c r="A21" s="223" t="s">
        <v>26</v>
      </c>
      <c r="B21" s="67" t="s">
        <v>63</v>
      </c>
      <c r="C21" s="68"/>
      <c r="D21" s="69">
        <v>1196202</v>
      </c>
      <c r="E21" s="70">
        <f>SUM(E22:E27)</f>
        <v>372183000</v>
      </c>
      <c r="F21" s="71">
        <f>SUM(F22:F27)</f>
        <v>0</v>
      </c>
      <c r="G21" s="72">
        <f>SUM(E21:F21)</f>
        <v>372183000</v>
      </c>
      <c r="H21" s="162">
        <f t="shared" si="11"/>
        <v>316355550</v>
      </c>
      <c r="I21" s="73">
        <v>0.85</v>
      </c>
      <c r="J21" s="69">
        <f>SUM(J22:J27)</f>
        <v>0</v>
      </c>
      <c r="K21" s="173">
        <f>SUM(K22:K27)</f>
        <v>50349600</v>
      </c>
      <c r="L21" s="174">
        <f t="shared" ref="L21:L27" si="27">SUM(J21:K21)</f>
        <v>50349600</v>
      </c>
      <c r="M21" s="204">
        <f t="shared" si="2"/>
        <v>372183000</v>
      </c>
      <c r="N21" s="205">
        <f t="shared" si="3"/>
        <v>50349600</v>
      </c>
      <c r="O21" s="174">
        <f t="shared" ref="O21:O27" si="28">G21+L21</f>
        <v>422532600</v>
      </c>
      <c r="P21" s="198">
        <f>SUM(P22:P27)</f>
        <v>372183000</v>
      </c>
      <c r="Q21" s="173">
        <f>SUM(Q22:Q27)</f>
        <v>50349600</v>
      </c>
      <c r="R21" s="199">
        <f>SUM(R22:R27)</f>
        <v>422532600</v>
      </c>
      <c r="S21" s="80"/>
      <c r="T21" s="81"/>
      <c r="U21" s="1"/>
      <c r="V21" s="17">
        <f>V18+V20</f>
        <v>61538400</v>
      </c>
      <c r="W21" s="17">
        <f t="shared" ref="W21:X21" si="29">W18+W20</f>
        <v>11160828</v>
      </c>
      <c r="X21" s="17">
        <f t="shared" si="29"/>
        <v>72699228</v>
      </c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</row>
    <row r="22" spans="1:146" s="6" customFormat="1" ht="113.25" customHeight="1" thickTop="1" thickBot="1" x14ac:dyDescent="0.25">
      <c r="A22" s="222" t="s">
        <v>38</v>
      </c>
      <c r="B22" s="74" t="s">
        <v>46</v>
      </c>
      <c r="C22" s="50" t="s">
        <v>31</v>
      </c>
      <c r="D22" s="51"/>
      <c r="E22" s="55">
        <v>164549175</v>
      </c>
      <c r="F22" s="52">
        <v>0</v>
      </c>
      <c r="G22" s="163">
        <f>SUM(E22:F22)</f>
        <v>164549175</v>
      </c>
      <c r="H22" s="75">
        <f t="shared" si="11"/>
        <v>139866798.75</v>
      </c>
      <c r="I22" s="54">
        <v>0.85</v>
      </c>
      <c r="J22" s="55">
        <v>0</v>
      </c>
      <c r="K22" s="52">
        <v>0</v>
      </c>
      <c r="L22" s="56">
        <f t="shared" si="27"/>
        <v>0</v>
      </c>
      <c r="M22" s="95">
        <f t="shared" si="2"/>
        <v>164549175</v>
      </c>
      <c r="N22" s="82">
        <f t="shared" si="3"/>
        <v>0</v>
      </c>
      <c r="O22" s="56">
        <f t="shared" si="28"/>
        <v>164549175</v>
      </c>
      <c r="P22" s="200">
        <f>M22</f>
        <v>164549175</v>
      </c>
      <c r="Q22" s="52">
        <f>N22</f>
        <v>0</v>
      </c>
      <c r="R22" s="201">
        <f>O22</f>
        <v>164549175</v>
      </c>
      <c r="S22" s="83" t="s">
        <v>29</v>
      </c>
      <c r="T22" s="83" t="s">
        <v>57</v>
      </c>
      <c r="U22" s="1"/>
      <c r="V22" s="17">
        <f>V21-P16</f>
        <v>0</v>
      </c>
      <c r="W22" s="17">
        <f t="shared" ref="W22:X22" si="30">W21-Q16</f>
        <v>0</v>
      </c>
      <c r="X22" s="17">
        <f t="shared" si="30"/>
        <v>0</v>
      </c>
      <c r="Y22" s="1"/>
      <c r="Z22" s="17"/>
      <c r="AA22" s="17"/>
      <c r="AB22" s="17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</row>
    <row r="23" spans="1:146" s="6" customFormat="1" ht="144.75" thickTop="1" x14ac:dyDescent="0.2">
      <c r="A23" s="219" t="s">
        <v>39</v>
      </c>
      <c r="B23" s="76" t="s">
        <v>47</v>
      </c>
      <c r="C23" s="35" t="s">
        <v>31</v>
      </c>
      <c r="D23" s="58"/>
      <c r="E23" s="39">
        <v>2505825</v>
      </c>
      <c r="F23" s="36">
        <v>0</v>
      </c>
      <c r="G23" s="152">
        <f>SUM(E23:F23)</f>
        <v>2505825</v>
      </c>
      <c r="H23" s="37">
        <f t="shared" ref="H23" si="31">G23*I23</f>
        <v>2129951.25</v>
      </c>
      <c r="I23" s="38">
        <v>0.85</v>
      </c>
      <c r="J23" s="39">
        <v>0</v>
      </c>
      <c r="K23" s="36">
        <v>0</v>
      </c>
      <c r="L23" s="40">
        <f t="shared" si="27"/>
        <v>0</v>
      </c>
      <c r="M23" s="101">
        <f t="shared" si="2"/>
        <v>2505825</v>
      </c>
      <c r="N23" s="84">
        <f t="shared" si="3"/>
        <v>0</v>
      </c>
      <c r="O23" s="40">
        <f t="shared" si="28"/>
        <v>2505825</v>
      </c>
      <c r="P23" s="153">
        <f t="shared" ref="P23:P27" si="32">M23</f>
        <v>2505825</v>
      </c>
      <c r="Q23" s="36">
        <f t="shared" ref="Q23:Q27" si="33">N23</f>
        <v>0</v>
      </c>
      <c r="R23" s="154">
        <f t="shared" ref="R23:R27" si="34">O23</f>
        <v>2505825</v>
      </c>
      <c r="S23" s="85" t="s">
        <v>28</v>
      </c>
      <c r="T23" s="85" t="s">
        <v>56</v>
      </c>
      <c r="U23" s="1"/>
      <c r="V23" s="13" t="s">
        <v>102</v>
      </c>
      <c r="W23" s="13"/>
      <c r="X23" s="13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</row>
    <row r="24" spans="1:146" s="7" customFormat="1" ht="54" customHeight="1" thickBot="1" x14ac:dyDescent="0.25">
      <c r="A24" s="219" t="s">
        <v>41</v>
      </c>
      <c r="B24" s="76" t="s">
        <v>40</v>
      </c>
      <c r="C24" s="35" t="s">
        <v>31</v>
      </c>
      <c r="D24" s="86"/>
      <c r="E24" s="39">
        <v>9184140</v>
      </c>
      <c r="F24" s="36">
        <v>0</v>
      </c>
      <c r="G24" s="152">
        <f>SUM(E24:F24)</f>
        <v>9184140</v>
      </c>
      <c r="H24" s="152">
        <f>G24*I24</f>
        <v>7806519</v>
      </c>
      <c r="I24" s="38">
        <v>0.85</v>
      </c>
      <c r="J24" s="39">
        <v>0</v>
      </c>
      <c r="K24" s="36">
        <v>0</v>
      </c>
      <c r="L24" s="40">
        <f t="shared" si="27"/>
        <v>0</v>
      </c>
      <c r="M24" s="101">
        <f t="shared" si="2"/>
        <v>9184140</v>
      </c>
      <c r="N24" s="84">
        <f t="shared" si="3"/>
        <v>0</v>
      </c>
      <c r="O24" s="40">
        <f t="shared" si="28"/>
        <v>9184140</v>
      </c>
      <c r="P24" s="153">
        <f t="shared" si="32"/>
        <v>9184140</v>
      </c>
      <c r="Q24" s="36">
        <f t="shared" si="33"/>
        <v>0</v>
      </c>
      <c r="R24" s="154">
        <f t="shared" si="34"/>
        <v>9184140</v>
      </c>
      <c r="S24" s="85" t="s">
        <v>29</v>
      </c>
      <c r="T24" s="85" t="s">
        <v>57</v>
      </c>
      <c r="U24" s="1"/>
      <c r="V24" s="17">
        <f>P26+P27</f>
        <v>195804000</v>
      </c>
      <c r="W24" s="17">
        <f>Q26+Q27</f>
        <v>50349600</v>
      </c>
      <c r="X24" s="17">
        <f>R26+R27</f>
        <v>246153600</v>
      </c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</row>
    <row r="25" spans="1:146" s="7" customFormat="1" ht="52.5" customHeight="1" thickTop="1" thickBot="1" x14ac:dyDescent="0.25">
      <c r="A25" s="219" t="s">
        <v>42</v>
      </c>
      <c r="B25" s="76" t="s">
        <v>43</v>
      </c>
      <c r="C25" s="35" t="s">
        <v>31</v>
      </c>
      <c r="D25" s="86"/>
      <c r="E25" s="39">
        <v>139860</v>
      </c>
      <c r="F25" s="36">
        <v>0</v>
      </c>
      <c r="G25" s="152">
        <f>SUM(E25:F25)</f>
        <v>139860</v>
      </c>
      <c r="H25" s="152">
        <f>G25*I25</f>
        <v>118881</v>
      </c>
      <c r="I25" s="38">
        <v>0.85</v>
      </c>
      <c r="J25" s="39">
        <v>0</v>
      </c>
      <c r="K25" s="36">
        <v>0</v>
      </c>
      <c r="L25" s="40">
        <f t="shared" si="27"/>
        <v>0</v>
      </c>
      <c r="M25" s="101">
        <f t="shared" si="2"/>
        <v>139860</v>
      </c>
      <c r="N25" s="84">
        <f t="shared" si="3"/>
        <v>0</v>
      </c>
      <c r="O25" s="40">
        <f t="shared" si="28"/>
        <v>139860</v>
      </c>
      <c r="P25" s="153">
        <f t="shared" si="32"/>
        <v>139860</v>
      </c>
      <c r="Q25" s="36">
        <f t="shared" si="33"/>
        <v>0</v>
      </c>
      <c r="R25" s="154">
        <f t="shared" si="34"/>
        <v>139860</v>
      </c>
      <c r="S25" s="85" t="s">
        <v>28</v>
      </c>
      <c r="T25" s="85" t="s">
        <v>56</v>
      </c>
      <c r="U25" s="1"/>
      <c r="V25" s="13" t="s">
        <v>103</v>
      </c>
      <c r="W25" s="13"/>
      <c r="X25" s="13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</row>
    <row r="26" spans="1:146" s="12" customFormat="1" ht="54.75" thickTop="1" x14ac:dyDescent="0.2">
      <c r="A26" s="219" t="s">
        <v>74</v>
      </c>
      <c r="B26" s="76" t="s">
        <v>76</v>
      </c>
      <c r="C26" s="35" t="s">
        <v>65</v>
      </c>
      <c r="D26" s="58"/>
      <c r="E26" s="39">
        <v>186480000</v>
      </c>
      <c r="F26" s="36">
        <v>0</v>
      </c>
      <c r="G26" s="152">
        <f>E26</f>
        <v>186480000</v>
      </c>
      <c r="H26" s="152">
        <f>G26*I26</f>
        <v>158508000</v>
      </c>
      <c r="I26" s="38">
        <v>0.85</v>
      </c>
      <c r="J26" s="39">
        <v>0</v>
      </c>
      <c r="K26" s="36">
        <f>E26*0.27</f>
        <v>50349600</v>
      </c>
      <c r="L26" s="40">
        <f t="shared" si="27"/>
        <v>50349600</v>
      </c>
      <c r="M26" s="104">
        <f t="shared" si="2"/>
        <v>186480000</v>
      </c>
      <c r="N26" s="90">
        <f t="shared" si="3"/>
        <v>50349600</v>
      </c>
      <c r="O26" s="40">
        <f t="shared" si="28"/>
        <v>236829600</v>
      </c>
      <c r="P26" s="153">
        <f t="shared" si="32"/>
        <v>186480000</v>
      </c>
      <c r="Q26" s="36">
        <f t="shared" si="33"/>
        <v>50349600</v>
      </c>
      <c r="R26" s="154">
        <f t="shared" si="34"/>
        <v>236829600</v>
      </c>
      <c r="S26" s="85" t="s">
        <v>29</v>
      </c>
      <c r="T26" s="85" t="s">
        <v>60</v>
      </c>
      <c r="U26" s="1"/>
      <c r="V26" s="17">
        <f>P22+P23+P24+P25</f>
        <v>176379000</v>
      </c>
      <c r="W26" s="17">
        <f>Q22+Q23+Q24+Q25</f>
        <v>0</v>
      </c>
      <c r="X26" s="17">
        <f>R22+R23+R24+R25</f>
        <v>176379000</v>
      </c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</row>
    <row r="27" spans="1:146" s="12" customFormat="1" ht="72.75" thickBot="1" x14ac:dyDescent="0.25">
      <c r="A27" s="220" t="s">
        <v>75</v>
      </c>
      <c r="B27" s="213" t="s">
        <v>83</v>
      </c>
      <c r="C27" s="87" t="s">
        <v>65</v>
      </c>
      <c r="D27" s="88"/>
      <c r="E27" s="31">
        <v>9324000</v>
      </c>
      <c r="F27" s="36">
        <v>0</v>
      </c>
      <c r="G27" s="152">
        <f>E27</f>
        <v>9324000</v>
      </c>
      <c r="H27" s="152">
        <f>G27*I27</f>
        <v>7925400</v>
      </c>
      <c r="I27" s="89">
        <v>0.85</v>
      </c>
      <c r="J27" s="39">
        <v>0</v>
      </c>
      <c r="K27" s="36">
        <v>0</v>
      </c>
      <c r="L27" s="40">
        <f t="shared" si="27"/>
        <v>0</v>
      </c>
      <c r="M27" s="104">
        <f t="shared" si="2"/>
        <v>9324000</v>
      </c>
      <c r="N27" s="90">
        <f t="shared" si="3"/>
        <v>0</v>
      </c>
      <c r="O27" s="40">
        <f t="shared" si="28"/>
        <v>9324000</v>
      </c>
      <c r="P27" s="153">
        <f t="shared" si="32"/>
        <v>9324000</v>
      </c>
      <c r="Q27" s="36">
        <f t="shared" si="33"/>
        <v>0</v>
      </c>
      <c r="R27" s="154">
        <f t="shared" si="34"/>
        <v>9324000</v>
      </c>
      <c r="S27" s="91" t="s">
        <v>28</v>
      </c>
      <c r="T27" s="91" t="s">
        <v>56</v>
      </c>
      <c r="U27" s="13"/>
      <c r="V27" s="17">
        <f>V24+V26</f>
        <v>372183000</v>
      </c>
      <c r="W27" s="17">
        <f t="shared" ref="W27:X27" si="35">W24+W26</f>
        <v>50349600</v>
      </c>
      <c r="X27" s="17">
        <f t="shared" si="35"/>
        <v>422532600</v>
      </c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</row>
    <row r="28" spans="1:146" s="9" customFormat="1" ht="54.95" customHeight="1" thickTop="1" thickBot="1" x14ac:dyDescent="0.25">
      <c r="A28" s="221" t="s">
        <v>27</v>
      </c>
      <c r="B28" s="212" t="s">
        <v>64</v>
      </c>
      <c r="C28" s="92"/>
      <c r="D28" s="69">
        <v>351000</v>
      </c>
      <c r="E28" s="69">
        <f>SUM(E29:E34)</f>
        <v>123387600</v>
      </c>
      <c r="F28" s="71">
        <f>SUM(F29:F34)</f>
        <v>0</v>
      </c>
      <c r="G28" s="162">
        <f t="shared" ref="G28:G34" si="36">SUM(E28:F28)</f>
        <v>123387600</v>
      </c>
      <c r="H28" s="162">
        <f t="shared" si="11"/>
        <v>104879460</v>
      </c>
      <c r="I28" s="73">
        <v>0.85</v>
      </c>
      <c r="J28" s="69">
        <f>SUM(J29:J34)</f>
        <v>0</v>
      </c>
      <c r="K28" s="173">
        <f>SUM(K29:K34)</f>
        <v>8139852</v>
      </c>
      <c r="L28" s="174">
        <f t="shared" ref="L28:L31" si="37">SUM(J28:K28)</f>
        <v>8139852</v>
      </c>
      <c r="M28" s="69">
        <f t="shared" si="2"/>
        <v>123387600</v>
      </c>
      <c r="N28" s="173">
        <f t="shared" si="3"/>
        <v>8139852</v>
      </c>
      <c r="O28" s="174">
        <f t="shared" si="4"/>
        <v>131527452</v>
      </c>
      <c r="P28" s="69">
        <f>SUM(P29:P34)</f>
        <v>123387600</v>
      </c>
      <c r="Q28" s="173">
        <f>SUM(Q29:Q34)</f>
        <v>8139852</v>
      </c>
      <c r="R28" s="174">
        <f>SUM(R29:R34)</f>
        <v>131527452</v>
      </c>
      <c r="S28" s="80"/>
      <c r="T28" s="81"/>
      <c r="U28" s="17"/>
      <c r="V28" s="17">
        <f>V27-P21</f>
        <v>0</v>
      </c>
      <c r="W28" s="17">
        <f t="shared" ref="W28:X28" si="38">W27-Q21</f>
        <v>0</v>
      </c>
      <c r="X28" s="1">
        <f t="shared" si="38"/>
        <v>0</v>
      </c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</row>
    <row r="29" spans="1:146" s="6" customFormat="1" ht="91.5" thickTop="1" thickBot="1" x14ac:dyDescent="0.25">
      <c r="A29" s="222" t="s">
        <v>52</v>
      </c>
      <c r="B29" s="49" t="s">
        <v>48</v>
      </c>
      <c r="C29" s="50" t="s">
        <v>31</v>
      </c>
      <c r="D29" s="93"/>
      <c r="E29" s="95">
        <v>58166220</v>
      </c>
      <c r="F29" s="82">
        <v>0</v>
      </c>
      <c r="G29" s="165">
        <f t="shared" si="36"/>
        <v>58166220</v>
      </c>
      <c r="H29" s="165">
        <f t="shared" si="11"/>
        <v>49441287</v>
      </c>
      <c r="I29" s="94">
        <v>0.85</v>
      </c>
      <c r="J29" s="95">
        <v>0</v>
      </c>
      <c r="K29" s="82">
        <v>0</v>
      </c>
      <c r="L29" s="96">
        <f t="shared" si="37"/>
        <v>0</v>
      </c>
      <c r="M29" s="95">
        <f t="shared" si="2"/>
        <v>58166220</v>
      </c>
      <c r="N29" s="82">
        <f t="shared" si="3"/>
        <v>0</v>
      </c>
      <c r="O29" s="181">
        <f t="shared" si="4"/>
        <v>58166220</v>
      </c>
      <c r="P29" s="182">
        <f>M29</f>
        <v>58166220</v>
      </c>
      <c r="Q29" s="97">
        <f>N29</f>
        <v>0</v>
      </c>
      <c r="R29" s="183">
        <f>O29</f>
        <v>58166220</v>
      </c>
      <c r="S29" s="98" t="s">
        <v>58</v>
      </c>
      <c r="T29" s="98" t="s">
        <v>57</v>
      </c>
      <c r="U29" s="1"/>
      <c r="V29" s="13" t="s">
        <v>102</v>
      </c>
      <c r="W29" s="13"/>
      <c r="X29" s="13"/>
      <c r="Y29" s="13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</row>
    <row r="30" spans="1:146" s="6" customFormat="1" ht="92.25" customHeight="1" thickTop="1" x14ac:dyDescent="0.2">
      <c r="A30" s="219" t="s">
        <v>50</v>
      </c>
      <c r="B30" s="34" t="s">
        <v>59</v>
      </c>
      <c r="C30" s="35" t="s">
        <v>31</v>
      </c>
      <c r="D30" s="99"/>
      <c r="E30" s="101">
        <v>885780</v>
      </c>
      <c r="F30" s="84">
        <v>0</v>
      </c>
      <c r="G30" s="166">
        <f t="shared" si="36"/>
        <v>885780</v>
      </c>
      <c r="H30" s="166">
        <f t="shared" ref="H30" si="39">G30*I30</f>
        <v>752913</v>
      </c>
      <c r="I30" s="100">
        <v>0.85</v>
      </c>
      <c r="J30" s="101">
        <v>0</v>
      </c>
      <c r="K30" s="84">
        <v>0</v>
      </c>
      <c r="L30" s="175">
        <f t="shared" ref="L30" si="40">SUM(J30:K30)</f>
        <v>0</v>
      </c>
      <c r="M30" s="101">
        <f t="shared" si="2"/>
        <v>885780</v>
      </c>
      <c r="N30" s="84">
        <f t="shared" si="3"/>
        <v>0</v>
      </c>
      <c r="O30" s="105">
        <f t="shared" si="4"/>
        <v>885780</v>
      </c>
      <c r="P30" s="184">
        <f t="shared" ref="P30:P34" si="41">M30</f>
        <v>885780</v>
      </c>
      <c r="Q30" s="90">
        <f t="shared" ref="Q30:Q34" si="42">N30</f>
        <v>0</v>
      </c>
      <c r="R30" s="185">
        <f t="shared" ref="R30:R34" si="43">O30</f>
        <v>885780</v>
      </c>
      <c r="S30" s="102" t="s">
        <v>28</v>
      </c>
      <c r="T30" s="102" t="s">
        <v>56</v>
      </c>
      <c r="U30" s="1"/>
      <c r="V30" s="17">
        <f>P33+P34</f>
        <v>30147600</v>
      </c>
      <c r="W30" s="17">
        <f t="shared" ref="W30:X30" si="44">Q33+Q34</f>
        <v>8139852</v>
      </c>
      <c r="X30" s="17">
        <f t="shared" si="44"/>
        <v>38287452</v>
      </c>
      <c r="Y30" s="17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</row>
    <row r="31" spans="1:146" s="8" customFormat="1" ht="54" x14ac:dyDescent="0.2">
      <c r="A31" s="219" t="s">
        <v>51</v>
      </c>
      <c r="B31" s="34" t="s">
        <v>49</v>
      </c>
      <c r="C31" s="35" t="s">
        <v>31</v>
      </c>
      <c r="D31" s="99"/>
      <c r="E31" s="104">
        <v>33675180</v>
      </c>
      <c r="F31" s="90">
        <v>0</v>
      </c>
      <c r="G31" s="167">
        <f t="shared" si="36"/>
        <v>33675180</v>
      </c>
      <c r="H31" s="167">
        <f t="shared" si="11"/>
        <v>28623903</v>
      </c>
      <c r="I31" s="103">
        <v>0.85</v>
      </c>
      <c r="J31" s="104">
        <v>0</v>
      </c>
      <c r="K31" s="90">
        <v>0</v>
      </c>
      <c r="L31" s="105">
        <f t="shared" si="37"/>
        <v>0</v>
      </c>
      <c r="M31" s="101">
        <f t="shared" si="2"/>
        <v>33675180</v>
      </c>
      <c r="N31" s="84">
        <f t="shared" si="3"/>
        <v>0</v>
      </c>
      <c r="O31" s="105">
        <f t="shared" si="4"/>
        <v>33675180</v>
      </c>
      <c r="P31" s="184">
        <f t="shared" si="41"/>
        <v>33675180</v>
      </c>
      <c r="Q31" s="90">
        <f t="shared" si="42"/>
        <v>0</v>
      </c>
      <c r="R31" s="185">
        <f t="shared" si="43"/>
        <v>33675180</v>
      </c>
      <c r="S31" s="102" t="s">
        <v>29</v>
      </c>
      <c r="T31" s="102" t="s">
        <v>57</v>
      </c>
      <c r="U31" s="1"/>
      <c r="V31" s="13" t="s">
        <v>103</v>
      </c>
      <c r="W31" s="13"/>
      <c r="X31" s="13"/>
      <c r="Y31" s="13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</row>
    <row r="32" spans="1:146" s="8" customFormat="1" ht="72" x14ac:dyDescent="0.2">
      <c r="A32" s="219" t="s">
        <v>53</v>
      </c>
      <c r="B32" s="34" t="s">
        <v>54</v>
      </c>
      <c r="C32" s="35" t="s">
        <v>31</v>
      </c>
      <c r="D32" s="99"/>
      <c r="E32" s="104">
        <v>512820</v>
      </c>
      <c r="F32" s="90">
        <v>0</v>
      </c>
      <c r="G32" s="167">
        <f t="shared" si="36"/>
        <v>512820</v>
      </c>
      <c r="H32" s="167">
        <f t="shared" ref="H32:H34" si="45">G32*I32</f>
        <v>435897</v>
      </c>
      <c r="I32" s="103">
        <v>0.85</v>
      </c>
      <c r="J32" s="104">
        <v>0</v>
      </c>
      <c r="K32" s="90">
        <v>0</v>
      </c>
      <c r="L32" s="105">
        <f t="shared" ref="L32" si="46">SUM(J32:K32)</f>
        <v>0</v>
      </c>
      <c r="M32" s="101">
        <f t="shared" si="2"/>
        <v>512820</v>
      </c>
      <c r="N32" s="84">
        <f t="shared" si="3"/>
        <v>0</v>
      </c>
      <c r="O32" s="105">
        <f t="shared" si="4"/>
        <v>512820</v>
      </c>
      <c r="P32" s="184">
        <f t="shared" si="41"/>
        <v>512820</v>
      </c>
      <c r="Q32" s="90">
        <f t="shared" si="42"/>
        <v>0</v>
      </c>
      <c r="R32" s="185">
        <f t="shared" si="43"/>
        <v>512820</v>
      </c>
      <c r="S32" s="102" t="s">
        <v>28</v>
      </c>
      <c r="T32" s="102" t="s">
        <v>56</v>
      </c>
      <c r="U32" s="1"/>
      <c r="V32" s="17">
        <f>P29+P30+P31+P32</f>
        <v>93240000</v>
      </c>
      <c r="W32" s="17">
        <f t="shared" ref="W32:X32" si="47">Q29+Q30+Q31+Q32</f>
        <v>0</v>
      </c>
      <c r="X32" s="17">
        <f t="shared" si="47"/>
        <v>93240000</v>
      </c>
      <c r="Y32" s="17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</row>
    <row r="33" spans="1:146" s="8" customFormat="1" ht="54" x14ac:dyDescent="0.2">
      <c r="A33" s="219" t="s">
        <v>77</v>
      </c>
      <c r="B33" s="34" t="s">
        <v>78</v>
      </c>
      <c r="C33" s="35" t="s">
        <v>65</v>
      </c>
      <c r="D33" s="106"/>
      <c r="E33" s="104">
        <v>9945600</v>
      </c>
      <c r="F33" s="90">
        <v>0</v>
      </c>
      <c r="G33" s="167">
        <f t="shared" si="36"/>
        <v>9945600</v>
      </c>
      <c r="H33" s="167">
        <f t="shared" si="45"/>
        <v>8453760</v>
      </c>
      <c r="I33" s="103">
        <v>0.85</v>
      </c>
      <c r="J33" s="104">
        <v>0</v>
      </c>
      <c r="K33" s="90">
        <f>E33*0.27</f>
        <v>2685312</v>
      </c>
      <c r="L33" s="105">
        <f>SUM(J33:K33)</f>
        <v>2685312</v>
      </c>
      <c r="M33" s="104">
        <f t="shared" si="2"/>
        <v>9945600</v>
      </c>
      <c r="N33" s="90">
        <f t="shared" si="3"/>
        <v>2685312</v>
      </c>
      <c r="O33" s="105">
        <f t="shared" si="4"/>
        <v>12630912</v>
      </c>
      <c r="P33" s="184">
        <f t="shared" si="41"/>
        <v>9945600</v>
      </c>
      <c r="Q33" s="90">
        <f t="shared" si="42"/>
        <v>2685312</v>
      </c>
      <c r="R33" s="185">
        <f t="shared" si="43"/>
        <v>12630912</v>
      </c>
      <c r="S33" s="102" t="s">
        <v>29</v>
      </c>
      <c r="T33" s="102" t="s">
        <v>60</v>
      </c>
      <c r="U33" s="13"/>
      <c r="V33" s="17">
        <f>V30+V32</f>
        <v>123387600</v>
      </c>
      <c r="W33" s="17">
        <f>W30+W32</f>
        <v>8139852</v>
      </c>
      <c r="X33" s="17">
        <f>X30+X32</f>
        <v>131527452</v>
      </c>
      <c r="Y33" s="17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</row>
    <row r="34" spans="1:146" s="8" customFormat="1" ht="39.950000000000003" customHeight="1" thickBot="1" x14ac:dyDescent="0.25">
      <c r="A34" s="224" t="s">
        <v>84</v>
      </c>
      <c r="B34" s="107" t="s">
        <v>79</v>
      </c>
      <c r="C34" s="108" t="s">
        <v>65</v>
      </c>
      <c r="D34" s="109"/>
      <c r="E34" s="112">
        <v>20202000</v>
      </c>
      <c r="F34" s="110">
        <v>0</v>
      </c>
      <c r="G34" s="168">
        <f t="shared" si="36"/>
        <v>20202000</v>
      </c>
      <c r="H34" s="168">
        <f t="shared" si="45"/>
        <v>17171700</v>
      </c>
      <c r="I34" s="111">
        <v>0.85</v>
      </c>
      <c r="J34" s="112">
        <v>0</v>
      </c>
      <c r="K34" s="110">
        <f>E34*0.27</f>
        <v>5454540</v>
      </c>
      <c r="L34" s="176">
        <f>SUM(J34:K34)</f>
        <v>5454540</v>
      </c>
      <c r="M34" s="112">
        <f>E34+J34</f>
        <v>20202000</v>
      </c>
      <c r="N34" s="110">
        <f t="shared" si="3"/>
        <v>5454540</v>
      </c>
      <c r="O34" s="176">
        <f t="shared" si="4"/>
        <v>25656540</v>
      </c>
      <c r="P34" s="186">
        <f t="shared" si="41"/>
        <v>20202000</v>
      </c>
      <c r="Q34" s="110">
        <f t="shared" si="42"/>
        <v>5454540</v>
      </c>
      <c r="R34" s="187">
        <f t="shared" si="43"/>
        <v>25656540</v>
      </c>
      <c r="S34" s="113" t="s">
        <v>29</v>
      </c>
      <c r="T34" s="108" t="s">
        <v>15</v>
      </c>
      <c r="U34" s="17"/>
      <c r="V34" s="17">
        <f>V33-P28</f>
        <v>0</v>
      </c>
      <c r="W34" s="17">
        <f t="shared" ref="W34:X34" si="48">W33-Q28</f>
        <v>0</v>
      </c>
      <c r="X34" s="17">
        <f t="shared" si="48"/>
        <v>0</v>
      </c>
      <c r="Y34" s="1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</row>
    <row r="35" spans="1:146" s="2" customFormat="1" ht="39.75" customHeight="1" thickBot="1" x14ac:dyDescent="0.25">
      <c r="A35" s="114"/>
      <c r="B35" s="115" t="s">
        <v>22</v>
      </c>
      <c r="C35" s="116"/>
      <c r="D35" s="156">
        <f>+D4+D11+D16+D21+D28</f>
        <v>2095202</v>
      </c>
      <c r="E35" s="119">
        <f>E4+E11+E16+E21+E28</f>
        <v>651188783</v>
      </c>
      <c r="F35" s="117">
        <f>F4+F11+F16+F21+F28</f>
        <v>0</v>
      </c>
      <c r="G35" s="117">
        <f>G4+G11+G16+G21+G28</f>
        <v>651188783</v>
      </c>
      <c r="H35" s="117">
        <f>H4+H11+H16+H21+H28</f>
        <v>553510465.45000005</v>
      </c>
      <c r="I35" s="118">
        <v>0.85</v>
      </c>
      <c r="J35" s="119">
        <f t="shared" ref="J35:L35" si="49">J4+J11+J16+J21+J28</f>
        <v>0</v>
      </c>
      <c r="K35" s="117">
        <f t="shared" si="49"/>
        <v>73886880</v>
      </c>
      <c r="L35" s="177">
        <f t="shared" si="49"/>
        <v>73886880</v>
      </c>
      <c r="M35" s="119">
        <f>M4+M11+M16+M21+M28</f>
        <v>651188783</v>
      </c>
      <c r="N35" s="188">
        <f t="shared" ref="N35:O35" si="50">N4+N11+N16+N21+N28</f>
        <v>73886880</v>
      </c>
      <c r="O35" s="189">
        <f t="shared" si="50"/>
        <v>725075663</v>
      </c>
      <c r="P35" s="190">
        <f>P4+P11+P16+P21+P28</f>
        <v>646628752</v>
      </c>
      <c r="Q35" s="188">
        <f t="shared" ref="Q35:R35" si="51">Q4+Q11+Q16+Q21+Q28</f>
        <v>73846080</v>
      </c>
      <c r="R35" s="177">
        <f t="shared" si="51"/>
        <v>720474832</v>
      </c>
      <c r="S35" s="120"/>
      <c r="T35" s="120"/>
      <c r="U35" s="1"/>
      <c r="V35" s="13" t="s">
        <v>102</v>
      </c>
      <c r="W35" s="13"/>
      <c r="X35" s="13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</row>
    <row r="36" spans="1:146" s="2" customFormat="1" ht="39.950000000000003" customHeight="1" x14ac:dyDescent="0.2">
      <c r="A36" s="121"/>
      <c r="B36" s="122"/>
      <c r="C36" s="123" t="s">
        <v>31</v>
      </c>
      <c r="D36" s="124"/>
      <c r="E36" s="169">
        <f>SUMIFS(E4:E34,C4:C34,C36)</f>
        <v>323314362</v>
      </c>
      <c r="F36" s="125">
        <f>SUMIFS(F4:F34,C4:C34,C36)</f>
        <v>0</v>
      </c>
      <c r="G36" s="125">
        <f>SUMIFS(G4:G34,C4:C34,C36)</f>
        <v>323314362</v>
      </c>
      <c r="H36" s="125">
        <f>SUMIFS(H4:H34,C4:C34,C36)</f>
        <v>274817207.69999999</v>
      </c>
      <c r="I36" s="126">
        <v>0.85</v>
      </c>
      <c r="J36" s="127">
        <f>SUMIFS(J4:J34,C4:C34,C36)</f>
        <v>0</v>
      </c>
      <c r="K36" s="128">
        <f>SUMIFS(K4:K34,C4:C34,C36)</f>
        <v>0</v>
      </c>
      <c r="L36" s="178">
        <f>SUMIFS(L4:L34,C4:C34,C36)</f>
        <v>0</v>
      </c>
      <c r="M36" s="191">
        <f>SUMIFS(M4:M34,C4:C34,C36)</f>
        <v>323314362</v>
      </c>
      <c r="N36" s="129">
        <f>SUMIFS(N4:N34,C4:C34,C36)</f>
        <v>0</v>
      </c>
      <c r="O36" s="192">
        <f>+O5+O12+O13+O17+O18+O22+O23+O24+O25+O29+O30+O31+O32</f>
        <v>323314362</v>
      </c>
      <c r="P36" s="127">
        <f>SUMIFS(P4:P34,C4:C34,C36)</f>
        <v>323314362</v>
      </c>
      <c r="Q36" s="128">
        <f>SUMIFS(Q4:Q34,C4:C34,C36)</f>
        <v>0</v>
      </c>
      <c r="R36" s="178">
        <f>SUMIFS(R4:R34,C4:C34,C36)</f>
        <v>323314362</v>
      </c>
      <c r="S36" s="130"/>
      <c r="T36" s="130"/>
      <c r="U36" s="1"/>
      <c r="V36" s="17">
        <f>V6+V12+V18+V24+V30</f>
        <v>323314390</v>
      </c>
      <c r="W36" s="17">
        <f t="shared" ref="W36:X36" si="52">W6+W12+W18+W24+W30</f>
        <v>73846080</v>
      </c>
      <c r="X36" s="17">
        <f t="shared" si="52"/>
        <v>397160470</v>
      </c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</row>
    <row r="37" spans="1:146" s="2" customFormat="1" ht="39.950000000000003" customHeight="1" x14ac:dyDescent="0.2">
      <c r="A37" s="131"/>
      <c r="B37" s="132"/>
      <c r="C37" s="133" t="s">
        <v>65</v>
      </c>
      <c r="D37" s="155"/>
      <c r="E37" s="136">
        <f>SUMIFS(E4:E34,C4:C34,C37)</f>
        <v>323314390</v>
      </c>
      <c r="F37" s="134">
        <f>SUMIFS(F4:F34,C4:C34,C37)</f>
        <v>0</v>
      </c>
      <c r="G37" s="134">
        <f>E37</f>
        <v>323314390</v>
      </c>
      <c r="H37" s="134">
        <f>G37*I37-0.1</f>
        <v>274817231.39999998</v>
      </c>
      <c r="I37" s="135">
        <v>0.85</v>
      </c>
      <c r="J37" s="136">
        <f>SUMIFS(J4:J34,C4:C34,C37)</f>
        <v>0</v>
      </c>
      <c r="K37" s="134">
        <f>SUMIFS(K4:K34,C4:C34,C37)</f>
        <v>73846080</v>
      </c>
      <c r="L37" s="179">
        <f>SUMIFS(L4:L34,C4:C34,C37)</f>
        <v>73846080</v>
      </c>
      <c r="M37" s="193">
        <f>SUMIFS(M4:M34,C4:C34,C37)</f>
        <v>323314390</v>
      </c>
      <c r="N37" s="194">
        <f>SUMIFS(N4:N34,C4:C34,C37)</f>
        <v>73846080</v>
      </c>
      <c r="O37" s="179">
        <f>+O6+O7+O8+O14+O15+O19+O20+O26+O27+O33+O34</f>
        <v>397160470</v>
      </c>
      <c r="P37" s="136">
        <f>SUMIFS(P4:P34,C4:C34,C37)</f>
        <v>323314390</v>
      </c>
      <c r="Q37" s="134">
        <f>SUMIFS(Q4:Q34,C4:C34,C37)</f>
        <v>73846080</v>
      </c>
      <c r="R37" s="179">
        <f>SUMIFS(R4:R34,C4:C34,C37)</f>
        <v>397160470</v>
      </c>
      <c r="S37" s="137"/>
      <c r="T37" s="137"/>
      <c r="U37" s="1"/>
      <c r="V37" s="225">
        <f>V36-P37</f>
        <v>0</v>
      </c>
      <c r="W37" s="225">
        <f t="shared" ref="W37:X37" si="53">W36-Q37</f>
        <v>0</v>
      </c>
      <c r="X37" s="225">
        <f t="shared" si="53"/>
        <v>0</v>
      </c>
    </row>
    <row r="38" spans="1:146" s="2" customFormat="1" ht="39.950000000000003" customHeight="1" thickBot="1" x14ac:dyDescent="0.25">
      <c r="A38" s="138"/>
      <c r="B38" s="139"/>
      <c r="C38" s="140" t="s">
        <v>94</v>
      </c>
      <c r="D38" s="141"/>
      <c r="E38" s="144">
        <f>SUMIFS(E4:E34,C4:C34,C38)</f>
        <v>4560031</v>
      </c>
      <c r="F38" s="142">
        <f>SUMIFS(F4:F34,C4:C34,C38)</f>
        <v>0</v>
      </c>
      <c r="G38" s="142">
        <f>SUMIFS(G4:G34,C4:C34,C38)</f>
        <v>4560031</v>
      </c>
      <c r="H38" s="142">
        <f>SUMIFS(H4:H34,C4:C34,C38)</f>
        <v>3876025.9999999995</v>
      </c>
      <c r="I38" s="143">
        <v>0.85</v>
      </c>
      <c r="J38" s="144">
        <f>SUMIFS(J4:J34,C4:C34,C38)</f>
        <v>0</v>
      </c>
      <c r="K38" s="142">
        <f>SUMIFS(K4:K34,C4:C34,C38)</f>
        <v>40800</v>
      </c>
      <c r="L38" s="180">
        <f>SUMIFS(L4:L34,C4:C34,C38)</f>
        <v>40800</v>
      </c>
      <c r="M38" s="195">
        <f>SUMIFS(M4:M34,C4:C34,C38)</f>
        <v>4560031</v>
      </c>
      <c r="N38" s="196">
        <f>SUMIFS(N4:N34,C4:C34,C38)</f>
        <v>40800</v>
      </c>
      <c r="O38" s="197">
        <f>SUMIFS(O4:O34,C4:C34,C38)</f>
        <v>4600831</v>
      </c>
      <c r="P38" s="144">
        <f>SUMIFS(P4:P34,C4:C34,C38)</f>
        <v>0</v>
      </c>
      <c r="Q38" s="142">
        <f>SUMIFS(Q4:Q34,C4:C34,C38)</f>
        <v>0</v>
      </c>
      <c r="R38" s="180">
        <f>SUMIFS(R4:R34,C4:C34,C38)</f>
        <v>0</v>
      </c>
      <c r="S38" s="145"/>
      <c r="T38" s="145"/>
      <c r="U38" s="1"/>
      <c r="V38" s="13" t="s">
        <v>103</v>
      </c>
      <c r="W38" s="13"/>
      <c r="X38" s="13"/>
    </row>
    <row r="39" spans="1:146" ht="18" x14ac:dyDescent="0.25">
      <c r="A39" s="146"/>
      <c r="B39" s="147"/>
      <c r="C39" s="147"/>
      <c r="D39" s="148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3"/>
      <c r="V39" s="17">
        <f>V8+V14+V20+V26+V32</f>
        <v>323314362</v>
      </c>
      <c r="W39" s="17">
        <f t="shared" ref="W39:X39" si="54">W8+W14+W20+W26+W32</f>
        <v>0</v>
      </c>
      <c r="X39" s="17">
        <f t="shared" si="54"/>
        <v>323314362</v>
      </c>
    </row>
    <row r="40" spans="1:146" ht="18" x14ac:dyDescent="0.25">
      <c r="A40" s="146"/>
      <c r="B40" s="147"/>
      <c r="C40" s="147"/>
      <c r="D40" s="147"/>
      <c r="E40" s="148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7"/>
      <c r="V40" s="17">
        <f>V39-P36</f>
        <v>0</v>
      </c>
      <c r="W40" s="17">
        <f t="shared" ref="W40:X40" si="55">W39-Q36</f>
        <v>0</v>
      </c>
      <c r="X40" s="17">
        <f t="shared" si="55"/>
        <v>0</v>
      </c>
    </row>
    <row r="41" spans="1:146" ht="18" x14ac:dyDescent="0.25">
      <c r="A41" s="146"/>
      <c r="B41" s="147"/>
      <c r="C41" s="147"/>
      <c r="D41" s="147">
        <f>(2095202-14671)/2</f>
        <v>1040265.5</v>
      </c>
      <c r="E41" s="148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V41" s="17">
        <f>V36+V39</f>
        <v>646628752</v>
      </c>
      <c r="W41" s="17">
        <f t="shared" ref="W41:X41" si="56">W36+W39</f>
        <v>73846080</v>
      </c>
      <c r="X41" s="17">
        <f t="shared" si="56"/>
        <v>720474832</v>
      </c>
    </row>
    <row r="42" spans="1:146" ht="18.75" thickBot="1" x14ac:dyDescent="0.3">
      <c r="A42" s="146"/>
      <c r="B42" s="147"/>
      <c r="C42" s="147"/>
      <c r="D42" s="147"/>
      <c r="E42" s="148"/>
      <c r="F42" s="149">
        <v>0.1</v>
      </c>
      <c r="G42" s="149">
        <v>0.3</v>
      </c>
      <c r="H42" s="151"/>
      <c r="I42" s="147"/>
      <c r="J42" s="147"/>
      <c r="K42" s="147"/>
      <c r="L42" s="147"/>
      <c r="M42" s="147" t="s">
        <v>91</v>
      </c>
      <c r="N42" s="147"/>
      <c r="O42" s="147"/>
      <c r="P42" s="147" t="s">
        <v>92</v>
      </c>
      <c r="Q42" s="147"/>
      <c r="R42" s="147"/>
      <c r="S42" s="147"/>
      <c r="T42" s="147"/>
      <c r="V42" s="226">
        <f>V41-P35</f>
        <v>0</v>
      </c>
      <c r="W42" s="226">
        <f t="shared" ref="W42:X42" si="57">W41-Q35</f>
        <v>0</v>
      </c>
      <c r="X42" s="226">
        <f t="shared" si="57"/>
        <v>0</v>
      </c>
    </row>
    <row r="43" spans="1:146" ht="36.75" thickBot="1" x14ac:dyDescent="0.3">
      <c r="A43" s="146"/>
      <c r="B43" s="147"/>
      <c r="C43" s="150" t="s">
        <v>31</v>
      </c>
      <c r="D43" s="150" t="s">
        <v>28</v>
      </c>
      <c r="E43" s="136">
        <f>SUMIFS(R4:R34,C4:C34,C36,S4:S34,D43)</f>
        <v>24064467</v>
      </c>
      <c r="F43" s="136">
        <f>E43*F42</f>
        <v>2406446.7000000002</v>
      </c>
      <c r="G43" s="136"/>
      <c r="H43" s="151"/>
      <c r="I43" s="147"/>
      <c r="J43" s="147"/>
      <c r="K43" s="147"/>
      <c r="L43" s="147"/>
      <c r="M43" s="117">
        <v>651189000</v>
      </c>
      <c r="N43" s="117">
        <f>O43-M43</f>
        <v>175821030</v>
      </c>
      <c r="O43" s="117">
        <v>827010030</v>
      </c>
      <c r="P43" s="117">
        <v>273499380</v>
      </c>
      <c r="Q43" s="134">
        <f>(G36-H36)+(G37-H37)+(G38-H38)+K35</f>
        <v>171565197.90000004</v>
      </c>
      <c r="R43" s="147"/>
      <c r="S43" s="147"/>
      <c r="T43" s="147"/>
    </row>
    <row r="44" spans="1:146" ht="36.75" thickBot="1" x14ac:dyDescent="0.3">
      <c r="A44" s="146"/>
      <c r="B44" s="147"/>
      <c r="C44" s="150" t="s">
        <v>31</v>
      </c>
      <c r="D44" s="150" t="s">
        <v>29</v>
      </c>
      <c r="E44" s="136">
        <f>SUMIFS(R4:R34,C4:C34,C36,S4:S34,D44)</f>
        <v>241083675</v>
      </c>
      <c r="F44" s="136"/>
      <c r="G44" s="136">
        <f>E44*G42</f>
        <v>72325102.5</v>
      </c>
      <c r="H44" s="151"/>
      <c r="I44" s="147"/>
      <c r="J44" s="147"/>
      <c r="K44" s="147"/>
      <c r="L44" s="147"/>
      <c r="M44" s="117">
        <f>M35-M43</f>
        <v>-217</v>
      </c>
      <c r="N44" s="117">
        <f t="shared" ref="N44:O44" si="58">N35-N43</f>
        <v>-101934150</v>
      </c>
      <c r="O44" s="117">
        <f t="shared" si="58"/>
        <v>-101934367</v>
      </c>
      <c r="P44" s="117">
        <f>N52-P43</f>
        <v>-101934182.09999996</v>
      </c>
      <c r="Q44" s="147"/>
      <c r="R44" s="147"/>
      <c r="S44" s="147"/>
      <c r="T44" s="147"/>
    </row>
    <row r="45" spans="1:146" ht="36" x14ac:dyDescent="0.25">
      <c r="A45" s="146"/>
      <c r="B45" s="147"/>
      <c r="C45" s="150" t="s">
        <v>65</v>
      </c>
      <c r="D45" s="150" t="s">
        <v>28</v>
      </c>
      <c r="E45" s="136">
        <f>E6+E8+E14+E15+E27</f>
        <v>49810390</v>
      </c>
      <c r="F45" s="136">
        <f>E45*F42</f>
        <v>4981039</v>
      </c>
      <c r="G45" s="136"/>
      <c r="H45" s="151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</row>
    <row r="46" spans="1:146" ht="36" x14ac:dyDescent="0.25">
      <c r="A46" s="146"/>
      <c r="B46" s="147"/>
      <c r="C46" s="150" t="s">
        <v>65</v>
      </c>
      <c r="D46" s="150" t="s">
        <v>29</v>
      </c>
      <c r="E46" s="136">
        <f>(E7+E19+E20+E26+E33+E34)*1.27</f>
        <v>347350080</v>
      </c>
      <c r="F46" s="136"/>
      <c r="G46" s="136">
        <f>E46*G42</f>
        <v>104205024</v>
      </c>
      <c r="H46" s="147"/>
      <c r="I46" s="147"/>
      <c r="J46" s="147"/>
      <c r="K46" s="147"/>
      <c r="L46" s="147"/>
      <c r="M46" s="147" t="s">
        <v>95</v>
      </c>
      <c r="N46" s="151">
        <f>G36-H36</f>
        <v>48497154.300000012</v>
      </c>
      <c r="O46" s="147"/>
      <c r="P46" s="147"/>
      <c r="Q46" s="147"/>
      <c r="R46" s="147"/>
      <c r="S46" s="147"/>
      <c r="T46" s="147"/>
    </row>
    <row r="47" spans="1:146" ht="18" x14ac:dyDescent="0.25">
      <c r="A47" s="146"/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 t="s">
        <v>96</v>
      </c>
      <c r="N47" s="151">
        <f>G37-H37</f>
        <v>48497158.600000024</v>
      </c>
      <c r="O47" s="147"/>
      <c r="P47" s="147"/>
      <c r="Q47" s="147"/>
      <c r="R47" s="147"/>
      <c r="S47" s="148"/>
      <c r="T47" s="147"/>
    </row>
    <row r="48" spans="1:146" ht="18" x14ac:dyDescent="0.25">
      <c r="M48" s="147" t="s">
        <v>97</v>
      </c>
      <c r="N48" s="151">
        <f>SUM(N46:N47)</f>
        <v>96994312.900000036</v>
      </c>
    </row>
    <row r="49" spans="1:14" ht="18" x14ac:dyDescent="0.25">
      <c r="M49" s="147" t="s">
        <v>98</v>
      </c>
      <c r="N49" s="151">
        <f>G38-H38</f>
        <v>684005.00000000047</v>
      </c>
    </row>
    <row r="50" spans="1:14" ht="18" x14ac:dyDescent="0.25">
      <c r="F50" s="1" t="s">
        <v>104</v>
      </c>
      <c r="G50" s="226">
        <f>G35-G38</f>
        <v>646628752</v>
      </c>
      <c r="M50" s="147" t="s">
        <v>99</v>
      </c>
      <c r="N50" s="151">
        <f>SUM(N48:N49)</f>
        <v>97678317.900000036</v>
      </c>
    </row>
    <row r="51" spans="1:14" ht="18" x14ac:dyDescent="0.25">
      <c r="F51" s="1" t="s">
        <v>105</v>
      </c>
      <c r="G51" s="226">
        <f>L35-L38</f>
        <v>73846080</v>
      </c>
      <c r="M51" s="147" t="s">
        <v>100</v>
      </c>
      <c r="N51" s="151">
        <f>L35</f>
        <v>73886880</v>
      </c>
    </row>
    <row r="52" spans="1:14" ht="18" x14ac:dyDescent="0.25">
      <c r="F52" s="1" t="s">
        <v>106</v>
      </c>
      <c r="G52" s="226">
        <f>H36+H37</f>
        <v>549634439.0999999</v>
      </c>
      <c r="M52" s="147" t="s">
        <v>101</v>
      </c>
      <c r="N52" s="151">
        <f>SUM(N50:N51)</f>
        <v>171565197.90000004</v>
      </c>
    </row>
    <row r="53" spans="1:14" x14ac:dyDescent="0.2">
      <c r="A53" s="1"/>
    </row>
    <row r="54" spans="1:14" x14ac:dyDescent="0.2">
      <c r="A54" s="1"/>
    </row>
  </sheetData>
  <autoFilter ref="A3:EP38"/>
  <mergeCells count="23">
    <mergeCell ref="M1:O1"/>
    <mergeCell ref="N2:N3"/>
    <mergeCell ref="E2:E3"/>
    <mergeCell ref="F2:F3"/>
    <mergeCell ref="J2:J3"/>
    <mergeCell ref="K2:K3"/>
    <mergeCell ref="L2:L3"/>
    <mergeCell ref="T1:T3"/>
    <mergeCell ref="A1:A3"/>
    <mergeCell ref="C1:C3"/>
    <mergeCell ref="S1:S3"/>
    <mergeCell ref="B1:B3"/>
    <mergeCell ref="P1:R1"/>
    <mergeCell ref="H2:I2"/>
    <mergeCell ref="G2:G3"/>
    <mergeCell ref="R2:R3"/>
    <mergeCell ref="Q2:Q3"/>
    <mergeCell ref="J1:L1"/>
    <mergeCell ref="O2:O3"/>
    <mergeCell ref="P2:P3"/>
    <mergeCell ref="D2:D3"/>
    <mergeCell ref="D1:I1"/>
    <mergeCell ref="M2:M3"/>
  </mergeCells>
  <pageMargins left="0.23622047244094491" right="0.23622047244094491" top="0.74803149606299213" bottom="0.74803149606299213" header="0.31496062992125984" footer="0.31496062992125984"/>
  <pageSetup paperSize="8" scale="35" fitToWidth="0" orientation="landscape" r:id="rId1"/>
  <headerFooter>
    <oddHeader>&amp;L&amp;G&amp;C
&amp;"Arial,Félkövér"&amp;14RÉSZLETES KÖLTSÉGBONTÁS&amp;R&amp;"Arial,Normál"&amp;10
 2. számú melléklet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részletes költségbontás</vt:lpstr>
      <vt:lpstr>'részletes költségbontás'!Nyomtatási_terület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Saltarelli Erika</dc:creator>
  <cp:lastModifiedBy>Kelemen Ildikó</cp:lastModifiedBy>
  <cp:lastPrinted>2018-12-05T12:52:44Z</cp:lastPrinted>
  <dcterms:created xsi:type="dcterms:W3CDTF">2015-11-23T11:36:22Z</dcterms:created>
  <dcterms:modified xsi:type="dcterms:W3CDTF">2019-02-07T09:09:03Z</dcterms:modified>
</cp:coreProperties>
</file>